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codeName="{2E6947BB-A706-504E-29CB-9DD9B7763434}"/>
  <workbookPr codeName="ThisWorkbook"/>
  <mc:AlternateContent xmlns:mc="http://schemas.openxmlformats.org/markup-compatibility/2006">
    <mc:Choice Requires="x15">
      <x15ac:absPath xmlns:x15ac="http://schemas.microsoft.com/office/spreadsheetml/2010/11/ac" url="C:\Premier Info\Screen Adviser\Latest Version\"/>
    </mc:Choice>
  </mc:AlternateContent>
  <xr:revisionPtr revIDLastSave="0" documentId="13_ncr:1_{2D80A984-3CB9-4E9A-9990-01AAEEBFB0EE}" xr6:coauthVersionLast="45" xr6:coauthVersionMax="45" xr10:uidLastSave="{00000000-0000-0000-0000-000000000000}"/>
  <bookViews>
    <workbookView xWindow="-120" yWindow="-120" windowWidth="29040" windowHeight="15840" tabRatio="962" xr2:uid="{00000000-000D-0000-FFFF-FFFF00000000}"/>
  </bookViews>
  <sheets>
    <sheet name="products" sheetId="1" r:id="rId1"/>
    <sheet name="Your Quote" sheetId="24" r:id="rId2"/>
    <sheet name="Help Tab" sheetId="2" r:id="rId3"/>
    <sheet name="Short Throw Projectors" sheetId="25" r:id="rId4"/>
    <sheet name="DO NOT OPEN" sheetId="10" state="hidden" r:id="rId5"/>
    <sheet name="Logic" sheetId="18" state="hidden" r:id="rId6"/>
  </sheets>
  <functionGroups builtInGroupCount="19"/>
  <definedNames>
    <definedName name="_xlnm._FilterDatabase" localSheetId="2" hidden="1">'Help Tab'!$D$4:$D$6</definedName>
    <definedName name="_xlnm._FilterDatabase" localSheetId="0" hidden="1">products!$D$4:$D$4</definedName>
    <definedName name="_xlnm.Criteria" localSheetId="2">'Help Tab'!$D$4:$D$6</definedName>
    <definedName name="ExternalData_1" localSheetId="4" hidden="1">'DO NOT OPEN'!$A$1:$D$407</definedName>
    <definedName name="_xlnm.Extract" localSheetId="2">'Help Tab'!$A$6:$B$6</definedName>
    <definedName name="parameters">'Help Tab'!$A$2:$C$4</definedName>
    <definedName name="_xlnm.Print_Area" localSheetId="0">products!$B$2:$N$18</definedName>
    <definedName name="Query_from_Excel_Files" localSheetId="2" hidden="1">'Help Tab'!#REF!</definedName>
    <definedName name="Sapphire_Electric_Screen_with_Trigger_Viewing_Area_2346mm_x_1319mm_Approx_Casing_Dimensions_L_2658mm_x_H_96mm_x_W_91mm_p_88" localSheetId="0">products!#REF!</definedName>
    <definedName name="sku" comment="exertis sheet">#REF!</definedName>
    <definedName name="SKUselector" comment="screen adviser">products!$C$6:$K$225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24" l="1"/>
  <c r="D16" i="24"/>
  <c r="C16" i="24"/>
  <c r="E17" i="24"/>
  <c r="D17" i="24"/>
  <c r="C17" i="24"/>
  <c r="IW17" i="24" l="1"/>
  <c r="IV17" i="24"/>
  <c r="IU17" i="24"/>
  <c r="IT17" i="24"/>
  <c r="IS17" i="24"/>
  <c r="IR17" i="24"/>
  <c r="IQ17" i="24"/>
  <c r="IP17" i="24"/>
  <c r="IO17" i="24"/>
  <c r="IN17" i="24"/>
  <c r="IM17" i="24"/>
  <c r="IL17" i="24"/>
  <c r="IK17" i="24"/>
  <c r="IJ17" i="24"/>
  <c r="II17" i="24"/>
  <c r="IH17" i="24"/>
  <c r="IG17" i="24"/>
  <c r="IF17" i="24"/>
  <c r="IE17" i="24"/>
  <c r="IW16" i="24"/>
  <c r="IV16" i="24"/>
  <c r="IU16" i="24"/>
  <c r="IT16" i="24"/>
  <c r="IS16" i="24"/>
  <c r="IR16" i="24"/>
  <c r="IQ16" i="24"/>
  <c r="IP16" i="24"/>
  <c r="IO16" i="24"/>
  <c r="IN16" i="24"/>
  <c r="IM16" i="24"/>
  <c r="IL16" i="24"/>
  <c r="IK16" i="24"/>
  <c r="IJ16" i="24"/>
  <c r="II16" i="24"/>
  <c r="IH16" i="24"/>
  <c r="IG16" i="24"/>
  <c r="IF16" i="24"/>
  <c r="IE16" i="24"/>
  <c r="M260" i="1" l="1"/>
  <c r="M259" i="1"/>
  <c r="M258" i="1"/>
  <c r="L260" i="1" l="1"/>
  <c r="L259" i="1"/>
  <c r="L258" i="1"/>
  <c r="L257" i="1" l="1"/>
  <c r="M257" i="1"/>
  <c r="G25" i="24" l="1"/>
  <c r="F25" i="24"/>
  <c r="E25" i="24"/>
  <c r="D25" i="24"/>
  <c r="C25" i="24"/>
  <c r="C26" i="24" s="1"/>
  <c r="G26" i="24" l="1"/>
  <c r="F26" i="24"/>
  <c r="E26" i="24"/>
  <c r="D26" i="24"/>
  <c r="C23" i="24"/>
  <c r="G23" i="24" l="1"/>
  <c r="F23" i="24"/>
  <c r="G21" i="24" l="1"/>
  <c r="G22" i="24" s="1"/>
  <c r="F21" i="24"/>
  <c r="F22" i="24" s="1"/>
  <c r="C21" i="24"/>
  <c r="C22" i="24" s="1"/>
  <c r="M98" i="1" l="1"/>
  <c r="M16" i="1" l="1"/>
  <c r="M198" i="1" l="1"/>
  <c r="L198" i="1"/>
  <c r="M194" i="1"/>
  <c r="L194" i="1"/>
  <c r="M93" i="1"/>
  <c r="M113" i="1"/>
  <c r="L113" i="1"/>
  <c r="M120" i="1"/>
  <c r="L120" i="1"/>
  <c r="L121" i="1"/>
  <c r="M121" i="1"/>
  <c r="L127" i="1"/>
  <c r="M127" i="1"/>
  <c r="M96" i="1"/>
  <c r="L96" i="1"/>
  <c r="M139" i="1"/>
  <c r="L139" i="1"/>
  <c r="M148" i="1"/>
  <c r="L148" i="1"/>
  <c r="M136" i="1"/>
  <c r="L136" i="1"/>
  <c r="F27" i="24" l="1"/>
  <c r="E27" i="24"/>
  <c r="M197" i="1"/>
  <c r="L197" i="1"/>
  <c r="M177" i="1"/>
  <c r="L177" i="1"/>
  <c r="M196" i="1"/>
  <c r="L196" i="1"/>
  <c r="M200" i="1"/>
  <c r="L200" i="1"/>
  <c r="M21" i="1"/>
  <c r="L21" i="1"/>
  <c r="M41" i="1"/>
  <c r="L41" i="1"/>
  <c r="M100" i="1"/>
  <c r="L100" i="1"/>
  <c r="M114" i="1"/>
  <c r="L114" i="1"/>
  <c r="M122" i="1"/>
  <c r="L122" i="1"/>
  <c r="L144" i="1"/>
  <c r="L151" i="1"/>
  <c r="L150" i="1"/>
  <c r="L145" i="1"/>
  <c r="L138" i="1"/>
  <c r="L133" i="1"/>
  <c r="L102" i="1"/>
  <c r="L103" i="1"/>
  <c r="L97" i="1"/>
  <c r="L158" i="1"/>
  <c r="M144" i="1"/>
  <c r="M151" i="1"/>
  <c r="M145" i="1"/>
  <c r="M24" i="1"/>
  <c r="M150" i="1" l="1"/>
  <c r="M138" i="1"/>
  <c r="M133" i="1"/>
  <c r="M102" i="1"/>
  <c r="M103" i="1"/>
  <c r="M97" i="1"/>
  <c r="E21" i="24" l="1"/>
  <c r="E22" i="24" s="1"/>
  <c r="D21" i="24" l="1"/>
  <c r="D22" i="24" s="1"/>
  <c r="L156" i="1"/>
  <c r="L154" i="1"/>
  <c r="L152" i="1"/>
  <c r="L146" i="1"/>
  <c r="L142" i="1"/>
  <c r="L130" i="1"/>
  <c r="L125" i="1"/>
  <c r="L118" i="1"/>
  <c r="L111" i="1"/>
  <c r="L106" i="1"/>
  <c r="L104" i="1"/>
  <c r="M158" i="1"/>
  <c r="M156" i="1"/>
  <c r="M154" i="1"/>
  <c r="M152" i="1"/>
  <c r="M146" i="1"/>
  <c r="M142" i="1"/>
  <c r="M130" i="1"/>
  <c r="M125" i="1"/>
  <c r="M118" i="1"/>
  <c r="M111" i="1"/>
  <c r="M106" i="1"/>
  <c r="M104" i="1"/>
  <c r="D31" i="24" l="1"/>
  <c r="M256" i="1" l="1"/>
  <c r="E28" i="24" l="1"/>
  <c r="E23" i="24"/>
  <c r="E24" i="24" s="1"/>
  <c r="F24" i="24"/>
  <c r="D23" i="24"/>
  <c r="D24" i="24" s="1"/>
  <c r="C24" i="24"/>
  <c r="G24" i="24"/>
  <c r="G27" i="24"/>
  <c r="G28" i="24" s="1"/>
  <c r="F28" i="24"/>
  <c r="D27" i="24"/>
  <c r="D28" i="24" s="1"/>
  <c r="C27" i="24"/>
  <c r="C28" i="24" s="1"/>
  <c r="M40" i="1"/>
  <c r="M38" i="1"/>
  <c r="L229" i="1" l="1"/>
  <c r="L42" i="1"/>
  <c r="L43" i="1"/>
  <c r="L44" i="1"/>
  <c r="L45" i="1"/>
  <c r="L46" i="1"/>
  <c r="L47" i="1"/>
  <c r="L222" i="1"/>
  <c r="L225" i="1"/>
  <c r="L226" i="1"/>
  <c r="L227" i="1"/>
  <c r="L228" i="1"/>
  <c r="L221" i="1"/>
  <c r="L162" i="1"/>
  <c r="L160" i="1"/>
  <c r="L159" i="1"/>
  <c r="L6" i="1"/>
  <c r="L94" i="1"/>
  <c r="L157" i="1"/>
  <c r="L155" i="1"/>
  <c r="L204" i="1"/>
  <c r="L91" i="1"/>
  <c r="L93" i="1"/>
  <c r="L92" i="1"/>
  <c r="L88" i="1"/>
  <c r="L89" i="1"/>
  <c r="L90" i="1"/>
  <c r="L85" i="1"/>
  <c r="L86" i="1"/>
  <c r="L87" i="1"/>
  <c r="L147" i="1"/>
  <c r="L153" i="1"/>
  <c r="L143" i="1"/>
  <c r="L205" i="1"/>
  <c r="L40" i="1"/>
  <c r="L81" i="1"/>
  <c r="L82" i="1"/>
  <c r="L83" i="1"/>
  <c r="L84" i="1"/>
  <c r="L199" i="1"/>
  <c r="L218" i="1"/>
  <c r="L219" i="1"/>
  <c r="L220" i="1"/>
  <c r="L132" i="1"/>
  <c r="L135" i="1"/>
  <c r="L137" i="1"/>
  <c r="L141" i="1"/>
  <c r="L140" i="1"/>
  <c r="L134" i="1"/>
  <c r="L131" i="1"/>
  <c r="L38" i="1"/>
  <c r="L39" i="1"/>
  <c r="L78" i="1"/>
  <c r="L79" i="1"/>
  <c r="L80" i="1"/>
  <c r="L195" i="1"/>
  <c r="L215" i="1"/>
  <c r="L216" i="1"/>
  <c r="L217" i="1"/>
  <c r="L119" i="1"/>
  <c r="L123" i="1"/>
  <c r="L124" i="1"/>
  <c r="L126" i="1"/>
  <c r="L128" i="1"/>
  <c r="L129" i="1"/>
  <c r="L174" i="1"/>
  <c r="L18" i="1"/>
  <c r="L19" i="1"/>
  <c r="L20" i="1"/>
  <c r="L34" i="1"/>
  <c r="L35" i="1"/>
  <c r="L37" i="1"/>
  <c r="L36" i="1"/>
  <c r="L74" i="1"/>
  <c r="L75" i="1"/>
  <c r="L76" i="1"/>
  <c r="L77" i="1"/>
  <c r="L191" i="1"/>
  <c r="L192" i="1"/>
  <c r="L193" i="1"/>
  <c r="L201" i="1"/>
  <c r="L212" i="1"/>
  <c r="L213" i="1"/>
  <c r="L214" i="1"/>
  <c r="L16" i="1"/>
  <c r="L17" i="1"/>
  <c r="L25" i="1"/>
  <c r="L72" i="1"/>
  <c r="L73" i="1"/>
  <c r="L254" i="1"/>
  <c r="L255" i="1"/>
  <c r="L256" i="1"/>
  <c r="L70" i="1"/>
  <c r="L71" i="1"/>
  <c r="L251" i="1"/>
  <c r="L252" i="1"/>
  <c r="L253" i="1"/>
  <c r="L188" i="1"/>
  <c r="L189" i="1"/>
  <c r="L190" i="1"/>
  <c r="L107" i="1"/>
  <c r="L108" i="1"/>
  <c r="L109" i="1"/>
  <c r="L110" i="1"/>
  <c r="L112" i="1"/>
  <c r="L117" i="1"/>
  <c r="L149" i="1"/>
  <c r="L115" i="1"/>
  <c r="L116" i="1"/>
  <c r="L24" i="1"/>
  <c r="L13" i="1"/>
  <c r="L14" i="1"/>
  <c r="L15" i="1"/>
  <c r="L23" i="1"/>
  <c r="L30" i="1"/>
  <c r="L31" i="1"/>
  <c r="L33" i="1"/>
  <c r="L32" i="1"/>
  <c r="L63" i="1"/>
  <c r="L64" i="1"/>
  <c r="L65" i="1"/>
  <c r="L66" i="1"/>
  <c r="L67" i="1"/>
  <c r="L68" i="1"/>
  <c r="L69" i="1"/>
  <c r="L209" i="1"/>
  <c r="L210" i="1"/>
  <c r="L211" i="1"/>
  <c r="L244" i="1"/>
  <c r="L245" i="1"/>
  <c r="L246" i="1"/>
  <c r="L247" i="1"/>
  <c r="L248" i="1"/>
  <c r="L249" i="1"/>
  <c r="L250" i="1"/>
  <c r="L184" i="1"/>
  <c r="L185" i="1"/>
  <c r="L186" i="1"/>
  <c r="L187" i="1"/>
  <c r="L161" i="1"/>
  <c r="L183" i="1"/>
  <c r="L95" i="1"/>
  <c r="L98" i="1"/>
  <c r="L99" i="1"/>
  <c r="L101" i="1"/>
  <c r="L105" i="1"/>
  <c r="L178" i="1"/>
  <c r="L179" i="1"/>
  <c r="L180" i="1"/>
  <c r="L181" i="1"/>
  <c r="L182" i="1"/>
  <c r="L224" i="1"/>
  <c r="L168" i="1"/>
  <c r="L170" i="1"/>
  <c r="L203" i="1"/>
  <c r="L171" i="1"/>
  <c r="L169" i="1"/>
  <c r="L172" i="1"/>
  <c r="L10" i="1"/>
  <c r="L11" i="1"/>
  <c r="L12" i="1"/>
  <c r="L22" i="1"/>
  <c r="L7" i="1" l="1"/>
  <c r="M229" i="1" l="1"/>
  <c r="M6" i="1" l="1"/>
  <c r="M159" i="1" l="1"/>
  <c r="M160" i="1"/>
  <c r="M162" i="1"/>
  <c r="M221" i="1"/>
  <c r="M228" i="1"/>
  <c r="M227" i="1"/>
  <c r="M226" i="1"/>
  <c r="M225" i="1"/>
  <c r="M222" i="1"/>
  <c r="M47" i="1"/>
  <c r="M46" i="1"/>
  <c r="M45" i="1"/>
  <c r="M44" i="1"/>
  <c r="M43" i="1"/>
  <c r="M42" i="1"/>
  <c r="M7" i="1"/>
  <c r="M167" i="1"/>
  <c r="M165" i="1"/>
  <c r="M163" i="1"/>
  <c r="M166" i="1"/>
  <c r="M164" i="1"/>
  <c r="M176" i="1"/>
  <c r="M175" i="1"/>
  <c r="M173" i="1"/>
  <c r="M236" i="1"/>
  <c r="M235" i="1"/>
  <c r="M234" i="1"/>
  <c r="M233" i="1"/>
  <c r="M232" i="1"/>
  <c r="M231" i="1"/>
  <c r="M230" i="1"/>
  <c r="M223" i="1"/>
  <c r="M55" i="1"/>
  <c r="M54" i="1"/>
  <c r="M53" i="1"/>
  <c r="M52" i="1"/>
  <c r="M51" i="1"/>
  <c r="M50" i="1"/>
  <c r="M49" i="1"/>
  <c r="M48" i="1"/>
  <c r="M9" i="1"/>
  <c r="M8" i="1"/>
  <c r="M202" i="1"/>
  <c r="M243" i="1"/>
  <c r="M242" i="1"/>
  <c r="M241" i="1"/>
  <c r="M240" i="1"/>
  <c r="M239" i="1"/>
  <c r="M238" i="1"/>
  <c r="M237" i="1"/>
  <c r="M208" i="1"/>
  <c r="M207" i="1"/>
  <c r="M206" i="1"/>
  <c r="M62" i="1"/>
  <c r="M61" i="1"/>
  <c r="M60" i="1"/>
  <c r="M59" i="1"/>
  <c r="M58" i="1"/>
  <c r="M57" i="1"/>
  <c r="M56" i="1"/>
  <c r="M28" i="1"/>
  <c r="M29" i="1"/>
  <c r="M27" i="1"/>
  <c r="M26" i="1"/>
  <c r="M22" i="1"/>
  <c r="M12" i="1"/>
  <c r="M11" i="1"/>
  <c r="M10" i="1"/>
  <c r="M172" i="1"/>
  <c r="M169" i="1"/>
  <c r="M171" i="1"/>
  <c r="M203" i="1"/>
  <c r="M170" i="1"/>
  <c r="M168" i="1"/>
  <c r="M224" i="1"/>
  <c r="M182" i="1"/>
  <c r="M181" i="1"/>
  <c r="M180" i="1"/>
  <c r="M179" i="1"/>
  <c r="M178" i="1"/>
  <c r="M105" i="1"/>
  <c r="M101" i="1"/>
  <c r="M99" i="1"/>
  <c r="M95" i="1"/>
  <c r="M183" i="1"/>
  <c r="M161" i="1"/>
  <c r="M187" i="1"/>
  <c r="M186" i="1"/>
  <c r="M185" i="1"/>
  <c r="M184" i="1"/>
  <c r="M250" i="1"/>
  <c r="M249" i="1"/>
  <c r="M248" i="1"/>
  <c r="M247" i="1"/>
  <c r="M246" i="1"/>
  <c r="M245" i="1"/>
  <c r="M244" i="1"/>
  <c r="M211" i="1"/>
  <c r="M210" i="1"/>
  <c r="M209" i="1"/>
  <c r="M69" i="1"/>
  <c r="M68" i="1"/>
  <c r="M67" i="1"/>
  <c r="M66" i="1"/>
  <c r="M65" i="1"/>
  <c r="M64" i="1"/>
  <c r="M63" i="1"/>
  <c r="M32" i="1"/>
  <c r="M33" i="1"/>
  <c r="M31" i="1"/>
  <c r="M30" i="1"/>
  <c r="M23" i="1"/>
  <c r="M15" i="1"/>
  <c r="M14" i="1"/>
  <c r="M13" i="1"/>
  <c r="M116" i="1"/>
  <c r="M115" i="1"/>
  <c r="M149" i="1"/>
  <c r="M117" i="1"/>
  <c r="M112" i="1"/>
  <c r="M110" i="1"/>
  <c r="M109" i="1"/>
  <c r="M108" i="1"/>
  <c r="M107" i="1"/>
  <c r="M190" i="1"/>
  <c r="M189" i="1"/>
  <c r="M188" i="1"/>
  <c r="M253" i="1"/>
  <c r="M252" i="1"/>
  <c r="M251" i="1"/>
  <c r="M71" i="1"/>
  <c r="M70" i="1"/>
  <c r="M255" i="1"/>
  <c r="M254" i="1"/>
  <c r="M73" i="1"/>
  <c r="M72" i="1"/>
  <c r="M25" i="1"/>
  <c r="M17" i="1"/>
  <c r="M214" i="1"/>
  <c r="M213" i="1"/>
  <c r="M212" i="1"/>
  <c r="M201" i="1"/>
  <c r="M193" i="1"/>
  <c r="M192" i="1"/>
  <c r="M191" i="1"/>
  <c r="M77" i="1"/>
  <c r="M76" i="1"/>
  <c r="M75" i="1"/>
  <c r="M74" i="1"/>
  <c r="M36" i="1"/>
  <c r="M37" i="1"/>
  <c r="M35" i="1"/>
  <c r="M34" i="1"/>
  <c r="M20" i="1"/>
  <c r="M19" i="1"/>
  <c r="M18" i="1"/>
  <c r="M174" i="1"/>
  <c r="M129" i="1"/>
  <c r="M128" i="1"/>
  <c r="M126" i="1"/>
  <c r="M124" i="1"/>
  <c r="M123" i="1"/>
  <c r="M119" i="1"/>
  <c r="M217" i="1"/>
  <c r="M216" i="1"/>
  <c r="M215" i="1"/>
  <c r="M195" i="1"/>
  <c r="M80" i="1"/>
  <c r="M79" i="1"/>
  <c r="M78" i="1"/>
  <c r="M39" i="1"/>
  <c r="M131" i="1"/>
  <c r="M134" i="1"/>
  <c r="M140" i="1"/>
  <c r="M141" i="1"/>
  <c r="M137" i="1"/>
  <c r="M135" i="1"/>
  <c r="M132" i="1"/>
  <c r="M220" i="1"/>
  <c r="M219" i="1"/>
  <c r="M218" i="1"/>
  <c r="M199" i="1"/>
  <c r="M84" i="1"/>
  <c r="M83" i="1"/>
  <c r="M82" i="1"/>
  <c r="M81" i="1"/>
  <c r="M205" i="1"/>
  <c r="M143" i="1"/>
  <c r="M153" i="1"/>
  <c r="M147" i="1"/>
  <c r="M87" i="1"/>
  <c r="M86" i="1"/>
  <c r="M85" i="1"/>
  <c r="M90" i="1"/>
  <c r="M89" i="1"/>
  <c r="M88" i="1"/>
  <c r="M92" i="1"/>
  <c r="M91" i="1"/>
  <c r="M204" i="1"/>
  <c r="M155" i="1"/>
  <c r="M157" i="1"/>
  <c r="M94" i="1"/>
  <c r="L243" i="1" l="1"/>
  <c r="L242" i="1"/>
  <c r="L241" i="1"/>
  <c r="L240" i="1"/>
  <c r="L239" i="1"/>
  <c r="L238" i="1"/>
  <c r="L237" i="1"/>
  <c r="L236" i="1"/>
  <c r="L235" i="1"/>
  <c r="L234" i="1"/>
  <c r="L233" i="1"/>
  <c r="L232" i="1"/>
  <c r="L231" i="1"/>
  <c r="L230" i="1"/>
  <c r="L223" i="1"/>
  <c r="L208" i="1"/>
  <c r="L207" i="1"/>
  <c r="L206" i="1"/>
  <c r="L202" i="1"/>
  <c r="L176" i="1"/>
  <c r="L175" i="1"/>
  <c r="L173" i="1"/>
  <c r="L167" i="1"/>
  <c r="L166" i="1"/>
  <c r="L165" i="1"/>
  <c r="L164" i="1"/>
  <c r="L163" i="1"/>
  <c r="L62" i="1"/>
  <c r="L61" i="1"/>
  <c r="L60" i="1"/>
  <c r="L59" i="1"/>
  <c r="L58" i="1"/>
  <c r="L57" i="1"/>
  <c r="L56" i="1"/>
  <c r="L55" i="1"/>
  <c r="L54" i="1"/>
  <c r="L53" i="1"/>
  <c r="L52" i="1"/>
  <c r="L51" i="1"/>
  <c r="L50" i="1"/>
  <c r="L49" i="1"/>
  <c r="L48" i="1"/>
  <c r="L28" i="1"/>
  <c r="L29" i="1"/>
  <c r="L27" i="1"/>
  <c r="L26" i="1"/>
  <c r="L9" i="1"/>
  <c r="L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Thomas</author>
  </authors>
  <commentList>
    <comment ref="E5" authorId="0" shapeId="0" xr:uid="{00000000-0006-0000-0000-000001000000}">
      <text>
        <r>
          <rPr>
            <sz val="9"/>
            <color indexed="81"/>
            <rFont val="Tahoma"/>
            <family val="2"/>
          </rPr>
          <t xml:space="preserve">Type of screen required. 
EG Manual or electric. Portable or specialist
</t>
        </r>
        <r>
          <rPr>
            <b/>
            <sz val="9"/>
            <color indexed="81"/>
            <rFont val="Tahoma"/>
            <family val="2"/>
          </rPr>
          <t>Click arrow on left to filter.</t>
        </r>
      </text>
    </comment>
    <comment ref="F5" authorId="0" shapeId="0" xr:uid="{00000000-0006-0000-0000-000002000000}">
      <text>
        <r>
          <rPr>
            <sz val="9"/>
            <color indexed="81"/>
            <rFont val="Tahoma"/>
            <family val="2"/>
          </rPr>
          <t xml:space="preserve">Example
Smart Move 2 motor
Tab Tensioned electric
Surace mount is standard wall or ceiling fix
</t>
        </r>
        <r>
          <rPr>
            <b/>
            <sz val="9"/>
            <color indexed="81"/>
            <rFont val="Tahoma"/>
            <family val="2"/>
          </rPr>
          <t>Click arrow on left to filter.</t>
        </r>
      </text>
    </comment>
    <comment ref="G5" authorId="0" shapeId="0" xr:uid="{00000000-0006-0000-0000-000003000000}">
      <text>
        <r>
          <rPr>
            <sz val="9"/>
            <color indexed="81"/>
            <rFont val="Tahoma"/>
            <family val="2"/>
          </rPr>
          <t xml:space="preserve">All Dimensioned relate to the widths and are in MM. If you need a diagonal size visit:-
www.sapphireav.com 
</t>
        </r>
        <r>
          <rPr>
            <b/>
            <sz val="9"/>
            <color indexed="81"/>
            <rFont val="Tahoma"/>
            <family val="2"/>
          </rPr>
          <t>Click arrow on left to filter.</t>
        </r>
      </text>
    </comment>
    <comment ref="H5" authorId="0" shapeId="0" xr:uid="{00000000-0006-0000-0000-000004000000}">
      <text>
        <r>
          <rPr>
            <sz val="9"/>
            <color indexed="81"/>
            <rFont val="Tahoma"/>
            <family val="2"/>
          </rPr>
          <t xml:space="preserve">Ideally Choose to suit your projector resolution.
1:1 Square
4:3 Video format
16:9 Home Cinema
16:10 Computer Widescreen 
</t>
        </r>
        <r>
          <rPr>
            <b/>
            <sz val="9"/>
            <color indexed="81"/>
            <rFont val="Tahoma"/>
            <family val="2"/>
          </rPr>
          <t>Click arrow on left to filter.</t>
        </r>
        <r>
          <rPr>
            <sz val="9"/>
            <color indexed="81"/>
            <rFont val="Tahoma"/>
            <family val="2"/>
          </rPr>
          <t xml:space="preserve">
</t>
        </r>
      </text>
    </comment>
    <comment ref="I5" authorId="0" shapeId="0" xr:uid="{79364F94-C154-4E2D-AE0F-657C6753A54C}">
      <text>
        <r>
          <rPr>
            <b/>
            <sz val="9"/>
            <color indexed="81"/>
            <rFont val="Tahoma"/>
            <family val="2"/>
          </rPr>
          <t xml:space="preserve">Select Fabric
Front 
Rear
Ambient Light reflecting
</t>
        </r>
        <r>
          <rPr>
            <sz val="9"/>
            <color indexed="81"/>
            <rFont val="Tahoma"/>
            <family val="2"/>
          </rPr>
          <t xml:space="preserve">
</t>
        </r>
      </text>
    </comment>
    <comment ref="J5" authorId="0" shapeId="0" xr:uid="{00000000-0006-0000-0000-000005000000}">
      <text>
        <r>
          <rPr>
            <b/>
            <sz val="9"/>
            <color indexed="81"/>
            <rFont val="Tahoma"/>
            <family val="2"/>
          </rPr>
          <t xml:space="preserve">All Sapphire Screens come with a remote.
</t>
        </r>
        <r>
          <rPr>
            <sz val="9"/>
            <color indexed="81"/>
            <rFont val="Tahoma"/>
            <family val="2"/>
          </rPr>
          <t xml:space="preserve">Infra red for smaller items use line of sight
Radio frequnecy for larger screens wiith a 35 Metre range
</t>
        </r>
        <r>
          <rPr>
            <b/>
            <sz val="9"/>
            <color indexed="81"/>
            <rFont val="Tahoma"/>
            <family val="2"/>
          </rPr>
          <t>Click arrow on left to filter.</t>
        </r>
      </text>
    </comment>
    <comment ref="K5" authorId="0" shapeId="0" xr:uid="{00000000-0006-0000-0000-000006000000}">
      <text>
        <r>
          <rPr>
            <b/>
            <sz val="9"/>
            <color indexed="81"/>
            <rFont val="Tahoma"/>
            <family val="2"/>
          </rPr>
          <t>Sapphire will have a solution whatever your control needs</t>
        </r>
        <r>
          <rPr>
            <sz val="9"/>
            <color indexed="81"/>
            <rFont val="Tahoma"/>
            <family val="2"/>
          </rPr>
          <t xml:space="preserve">
Screens with ATR in the code have buillt in 12V trigger, RS232 and Close contact.
From 3M screens have RS232 and close contact as standard. 
</t>
        </r>
        <r>
          <rPr>
            <b/>
            <sz val="9"/>
            <color indexed="81"/>
            <rFont val="Tahoma"/>
            <family val="2"/>
          </rPr>
          <t>Click arrow on left to filter.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FA21151-149B-4960-9BA0-0BF0A0305834}" keepAlive="1" name="Query - Abilitystockfeeds" description="Connection to the 'Abilitystockfeeds' query in the workbook." type="5" refreshedVersion="6" background="1" saveData="1">
    <dbPr connection="Provider=Microsoft.Mashup.OleDb.1;Data Source=$Workbook$;Location=Abilitystockfeeds;Extended Properties=&quot;&quot;" command="SELECT * FROM [Abilitystockfeeds]"/>
  </connection>
  <connection id="2" xr16:uid="{00000000-0015-0000-FFFF-FFFF00000000}" keepAlive="1" name="Query - filter_Parameter" description="Connection to the 'filter_Parameter' query in the workbook." type="5" refreshedVersion="0" background="1" saveData="1">
    <dbPr connection="Provider=Microsoft.Mashup.OleDb.1;Data Source=$Workbook$;Location=filter_Parameter;Extended Properties=&quot;&quot;" command="SELECT * FROM [filter_Parameter]"/>
  </connection>
</connections>
</file>

<file path=xl/sharedStrings.xml><?xml version="1.0" encoding="utf-8"?>
<sst xmlns="http://schemas.openxmlformats.org/spreadsheetml/2006/main" count="3864" uniqueCount="781">
  <si>
    <t>catalogid</t>
  </si>
  <si>
    <t>SWS270BV</t>
  </si>
  <si>
    <t>SWS240BV</t>
  </si>
  <si>
    <t>STR</t>
  </si>
  <si>
    <t>SFL200</t>
  </si>
  <si>
    <t>SEFL155-V</t>
  </si>
  <si>
    <t>SETTS300BV-AW</t>
  </si>
  <si>
    <t>SEWS180RBV-ATR</t>
  </si>
  <si>
    <t>SEWS300BV-A</t>
  </si>
  <si>
    <t>SSM200RADWSF</t>
  </si>
  <si>
    <t>SSM240RADV</t>
  </si>
  <si>
    <t>SSM240RADWSF</t>
  </si>
  <si>
    <t>SSM300RADV</t>
  </si>
  <si>
    <t>SSM300RADWSF</t>
  </si>
  <si>
    <t>SSM200RADV</t>
  </si>
  <si>
    <t>SEWS150BV-A</t>
  </si>
  <si>
    <t>SEWS150R-A</t>
  </si>
  <si>
    <t>SEWS150RAD-BV-A</t>
  </si>
  <si>
    <t>SEWS150RWSF-ATR</t>
  </si>
  <si>
    <t>SEWS180RAD-BV-A</t>
  </si>
  <si>
    <t>SEWS180RWSF-ATR</t>
  </si>
  <si>
    <t>SEWS180RWSF-ATR10</t>
  </si>
  <si>
    <t>SEWS200RAD-BV-A</t>
  </si>
  <si>
    <t>SEWS200RBV-ATR</t>
  </si>
  <si>
    <t>SETTS200WSF-AW</t>
  </si>
  <si>
    <t>SEWS200RWSF10-A</t>
  </si>
  <si>
    <t>SEWS200RWSF-ATR</t>
  </si>
  <si>
    <t>SEWS240RAD-A</t>
  </si>
  <si>
    <t>SEWS240RBV-ATR</t>
  </si>
  <si>
    <t>SEWS240RWSF-ATR</t>
  </si>
  <si>
    <t>SETTS240WSF-AW</t>
  </si>
  <si>
    <t>SEWS240RWSF-ATR10</t>
  </si>
  <si>
    <t>SETTS300WSF-AW</t>
  </si>
  <si>
    <t>SEWS300BS-A</t>
  </si>
  <si>
    <t>SEWS300BWSF-A</t>
  </si>
  <si>
    <t>SEWS350BV-A</t>
  </si>
  <si>
    <t>SEWS350BWSF-A</t>
  </si>
  <si>
    <t>SEWS400BS</t>
  </si>
  <si>
    <t>SEWS400BV-A</t>
  </si>
  <si>
    <t>SEWS400BWSF-A</t>
  </si>
  <si>
    <t>SEWS450BV</t>
  </si>
  <si>
    <t>STS150</t>
  </si>
  <si>
    <t>STB125150 Tripod Bag</t>
  </si>
  <si>
    <t>STS125</t>
  </si>
  <si>
    <t>STS180</t>
  </si>
  <si>
    <t>STS200</t>
  </si>
  <si>
    <t>STB180200 Tripod Bag</t>
  </si>
  <si>
    <t>STB240 Tripod Bag</t>
  </si>
  <si>
    <t>SWS125B</t>
  </si>
  <si>
    <t>SWS150B</t>
  </si>
  <si>
    <t>SWS150BV</t>
  </si>
  <si>
    <t>SWS150WSF</t>
  </si>
  <si>
    <t>SWS180-ASR2</t>
  </si>
  <si>
    <t>SWS180B</t>
  </si>
  <si>
    <t>SWS180BV</t>
  </si>
  <si>
    <t>SWS180WSF</t>
  </si>
  <si>
    <t>SWS180WSF-ASR2</t>
  </si>
  <si>
    <t>SWS200-ASR2</t>
  </si>
  <si>
    <t>SWS200B</t>
  </si>
  <si>
    <t>SWS200BV</t>
  </si>
  <si>
    <t>SWS200WSF</t>
  </si>
  <si>
    <t>SWS200WSF-ASR2</t>
  </si>
  <si>
    <t>SWS240-ASR2</t>
  </si>
  <si>
    <t>SWS240B-ASR2</t>
  </si>
  <si>
    <t>SWS240WSF</t>
  </si>
  <si>
    <t>SWS240WSF-ASR2</t>
  </si>
  <si>
    <t>SWS270-ASR2</t>
  </si>
  <si>
    <t>SWS270WSF</t>
  </si>
  <si>
    <t>SWS270WSF-ASR2</t>
  </si>
  <si>
    <t>SFFS203FR</t>
  </si>
  <si>
    <t>SFFS203RPFABRIC</t>
  </si>
  <si>
    <t>SFFS203RP</t>
  </si>
  <si>
    <t>SFFS203FRFabric</t>
  </si>
  <si>
    <t>SFFS244FR</t>
  </si>
  <si>
    <t>SFFS244RPFabric</t>
  </si>
  <si>
    <t>SFFS244FR10</t>
  </si>
  <si>
    <t>SFFS244RP</t>
  </si>
  <si>
    <t>SFFS244FRFabriconly</t>
  </si>
  <si>
    <t>SFFS305FR</t>
  </si>
  <si>
    <t>SFFS305RPFabric</t>
  </si>
  <si>
    <t>SFFS305RP</t>
  </si>
  <si>
    <t>SFFS365FR</t>
  </si>
  <si>
    <t>SFFS365RP-FABRIC</t>
  </si>
  <si>
    <t>SFFS365RP</t>
  </si>
  <si>
    <t>SFFS365FR-Fabric</t>
  </si>
  <si>
    <t>SFFS404FR</t>
  </si>
  <si>
    <t>SFFS404RP-Fabric</t>
  </si>
  <si>
    <t>SFFS404RP</t>
  </si>
  <si>
    <t>SFFS508FR</t>
  </si>
  <si>
    <t>SFFS305FRFabric</t>
  </si>
  <si>
    <t>SFS171V</t>
  </si>
  <si>
    <t>SFS305V</t>
  </si>
  <si>
    <t>SFSC234</t>
  </si>
  <si>
    <t>SFSC266</t>
  </si>
  <si>
    <t>SFSV300</t>
  </si>
  <si>
    <t>SFSC203</t>
  </si>
  <si>
    <t>SFL122</t>
  </si>
  <si>
    <t>SFL162</t>
  </si>
  <si>
    <t>SFL122WSF</t>
  </si>
  <si>
    <t>SFL162WSF</t>
  </si>
  <si>
    <t>SFL200WSF</t>
  </si>
  <si>
    <t>SFSC171</t>
  </si>
  <si>
    <t>SETTS240BV-AW</t>
  </si>
  <si>
    <t>SETTS200BV-AW</t>
  </si>
  <si>
    <t>SFL122P</t>
  </si>
  <si>
    <t>SFL200P</t>
  </si>
  <si>
    <t>SFL162P</t>
  </si>
  <si>
    <t>SFL162WSFP</t>
  </si>
  <si>
    <t>SFL200WSFP</t>
  </si>
  <si>
    <t>SEWS500BV-A</t>
  </si>
  <si>
    <t>SEWS600BV-A</t>
  </si>
  <si>
    <t>SETTS350WSF-AW</t>
  </si>
  <si>
    <t>SFS244V</t>
  </si>
  <si>
    <t>SFSC203-10</t>
  </si>
  <si>
    <t>SFSC234-10</t>
  </si>
  <si>
    <t>SFSC171-10</t>
  </si>
  <si>
    <t>SFFS203FR-WSF</t>
  </si>
  <si>
    <t>SFFS244FR-WSF</t>
  </si>
  <si>
    <t>SFFS305FR-WSF</t>
  </si>
  <si>
    <t>SFFS365FR-WSF</t>
  </si>
  <si>
    <t>SESC180BV-A2</t>
  </si>
  <si>
    <t>SESC180BWSF-A2</t>
  </si>
  <si>
    <t>SESC200B1610-A2</t>
  </si>
  <si>
    <t>SESC200BV-A2</t>
  </si>
  <si>
    <t>SESC200BWSF-A2</t>
  </si>
  <si>
    <t>SESC240B1610-A2</t>
  </si>
  <si>
    <t>SESC240BV-A2</t>
  </si>
  <si>
    <t>SESC240BWSF-A2</t>
  </si>
  <si>
    <t>SESC300B1610-A2</t>
  </si>
  <si>
    <t>SEWS300BWSF-A10</t>
  </si>
  <si>
    <t>SESC300BV-A2</t>
  </si>
  <si>
    <t>SPB1800</t>
  </si>
  <si>
    <t>SWS180WSF10</t>
  </si>
  <si>
    <t>SWS200WSF10</t>
  </si>
  <si>
    <t>SWS240WSF10</t>
  </si>
  <si>
    <t>SEWS180RAD-RWSF-A</t>
  </si>
  <si>
    <t>SEWS180RAD-RWSF-A10</t>
  </si>
  <si>
    <t>SEWS350BWSF-A10</t>
  </si>
  <si>
    <t>SEWS400BWSF-A10</t>
  </si>
  <si>
    <t>SEWS150RAD-RWSF-A10</t>
  </si>
  <si>
    <t>SPPS40</t>
  </si>
  <si>
    <t>SESC300BWSF-A2</t>
  </si>
  <si>
    <t>SFSC234AT</t>
  </si>
  <si>
    <t>SFSC266AT</t>
  </si>
  <si>
    <t>SEWS200RAD-WSF-A</t>
  </si>
  <si>
    <t>SEWS200RAD-RWSF-A10</t>
  </si>
  <si>
    <t>SEWS240RAD-RWSF-A</t>
  </si>
  <si>
    <t>SEWS180RWSF-A10</t>
  </si>
  <si>
    <t>SEWS200RWSF-ATR10</t>
  </si>
  <si>
    <t>SEWS240RADRWSF-A10</t>
  </si>
  <si>
    <t>SPPS1</t>
  </si>
  <si>
    <t>SEWS500BWSF-A10</t>
  </si>
  <si>
    <t>SFFS244RP-WSF-FABRIC</t>
  </si>
  <si>
    <t>SWS180WSF10-ASR2</t>
  </si>
  <si>
    <t>SWS200WSF10-ASR2</t>
  </si>
  <si>
    <t>SWS240WSF10-ASR2</t>
  </si>
  <si>
    <t>SWS270WSF10-ASR2</t>
  </si>
  <si>
    <t>SFSC300</t>
  </si>
  <si>
    <t>SESC270B1610-A2</t>
  </si>
  <si>
    <t>SEWS270RBV-ATR</t>
  </si>
  <si>
    <t>SEWS270RWSF-ATR</t>
  </si>
  <si>
    <t>SEWS488BWSF-10</t>
  </si>
  <si>
    <t>SSM400RADV</t>
  </si>
  <si>
    <t>SFFS404FR-WSF</t>
  </si>
  <si>
    <t>SFFS508RP</t>
  </si>
  <si>
    <t>SETTS200WSF-AW10</t>
  </si>
  <si>
    <t>SETTS240WSF-AW10</t>
  </si>
  <si>
    <t>SETTS300WSF-AW10</t>
  </si>
  <si>
    <t>SETTS350WSF-AW10</t>
  </si>
  <si>
    <t>SFSC266-10</t>
  </si>
  <si>
    <t>SFSC300-10</t>
  </si>
  <si>
    <t>SEWS488BV</t>
  </si>
  <si>
    <t>SEWS180WSF-ATRAC</t>
  </si>
  <si>
    <t>SEWS200WSF-ATRAC</t>
  </si>
  <si>
    <t>SEWS240WSF-ATRAC</t>
  </si>
  <si>
    <t>SEWS488BWSF</t>
  </si>
  <si>
    <t>SFFS203RP-WSF</t>
  </si>
  <si>
    <t>SFFS244RP-WSF</t>
  </si>
  <si>
    <t>SFFS305RP-WSF</t>
  </si>
  <si>
    <t>SFFS365RP-WSF</t>
  </si>
  <si>
    <t>SFFS404RP-WSF</t>
  </si>
  <si>
    <t>SFSC203-2D3D</t>
  </si>
  <si>
    <t>SFSC220-2D3D</t>
  </si>
  <si>
    <t>SETC200WSF-ATR</t>
  </si>
  <si>
    <t>SETC240WSF-ATR</t>
  </si>
  <si>
    <t>SETC270WSF-ATR</t>
  </si>
  <si>
    <t>SFSC400</t>
  </si>
  <si>
    <t>SSM400RADC</t>
  </si>
  <si>
    <t>SEWS270RWSF-ATR10</t>
  </si>
  <si>
    <t>SSM240RADWSF-10</t>
  </si>
  <si>
    <t>SSM300RADWSF10</t>
  </si>
  <si>
    <t>SSM400RADC-10</t>
  </si>
  <si>
    <t>SFSC350</t>
  </si>
  <si>
    <t>SESC270BWSF-A2</t>
  </si>
  <si>
    <t>SFSC203AT</t>
  </si>
  <si>
    <t>SFSC300AT</t>
  </si>
  <si>
    <t>SEWS270RAD-A</t>
  </si>
  <si>
    <t>SEWS450BWSF</t>
  </si>
  <si>
    <t>SSM200RADWSF-10</t>
  </si>
  <si>
    <t>SFSC400-10</t>
  </si>
  <si>
    <t>SFFS305FR10</t>
  </si>
  <si>
    <t>SFFS365FR10</t>
  </si>
  <si>
    <t>SSM350RADWSF</t>
  </si>
  <si>
    <t>SSM350RADV</t>
  </si>
  <si>
    <t>SFL122WSF10</t>
  </si>
  <si>
    <t>SFL162WSF10</t>
  </si>
  <si>
    <t>SETTS200WSF-AW WOVEN</t>
  </si>
  <si>
    <t>SETTS240WSF-AW WOVEN</t>
  </si>
  <si>
    <t>SETTS300WSF-AW WOVEN</t>
  </si>
  <si>
    <t>SFL200WSF10</t>
  </si>
  <si>
    <t>SFSC203-10SB</t>
  </si>
  <si>
    <t>SFSC234-10SB</t>
  </si>
  <si>
    <t>SALFS221WSF</t>
  </si>
  <si>
    <t>SETTS400WSF-AW</t>
  </si>
  <si>
    <t>SEWS150RWSF-ATR10</t>
  </si>
  <si>
    <t>SEWS450BWSF-10</t>
  </si>
  <si>
    <t>SPB2000</t>
  </si>
  <si>
    <t>Format</t>
  </si>
  <si>
    <t>4by3</t>
  </si>
  <si>
    <t>16by9</t>
  </si>
  <si>
    <t>16by10</t>
  </si>
  <si>
    <t>Your Screen SKU to order</t>
  </si>
  <si>
    <t>EAN Number</t>
  </si>
  <si>
    <r>
      <rPr>
        <b/>
        <sz val="11"/>
        <color theme="1"/>
        <rFont val="Gill Sans MT"/>
        <family val="2"/>
        <scheme val="minor"/>
      </rPr>
      <t>Control Systems</t>
    </r>
    <r>
      <rPr>
        <sz val="11"/>
        <color theme="1"/>
        <rFont val="Gill Sans MT"/>
        <family val="2"/>
        <scheme val="minor"/>
      </rPr>
      <t xml:space="preserve">
and 12V trigger comparibility</t>
    </r>
  </si>
  <si>
    <r>
      <rPr>
        <b/>
        <sz val="11"/>
        <color theme="1"/>
        <rFont val="Gill Sans MT"/>
        <family val="2"/>
        <scheme val="minor"/>
      </rPr>
      <t>Size</t>
    </r>
    <r>
      <rPr>
        <sz val="11"/>
        <color theme="1"/>
        <rFont val="Gill Sans MT"/>
        <family val="2"/>
        <scheme val="minor"/>
      </rPr>
      <t xml:space="preserve">
 width</t>
    </r>
  </si>
  <si>
    <r>
      <rPr>
        <b/>
        <sz val="11"/>
        <color theme="1"/>
        <rFont val="Gill Sans MT"/>
        <family val="2"/>
        <scheme val="minor"/>
      </rPr>
      <t>If Electric</t>
    </r>
    <r>
      <rPr>
        <sz val="11"/>
        <color theme="1"/>
        <rFont val="Gill Sans MT"/>
        <family val="2"/>
        <scheme val="minor"/>
      </rPr>
      <t xml:space="preserve"> </t>
    </r>
    <r>
      <rPr>
        <sz val="10"/>
        <color theme="1"/>
        <rFont val="Gill Sans MT"/>
        <family val="2"/>
        <scheme val="minor"/>
      </rPr>
      <t xml:space="preserve">
Type of 
remote included-</t>
    </r>
  </si>
  <si>
    <r>
      <t xml:space="preserve">SubType 
</t>
    </r>
    <r>
      <rPr>
        <sz val="11"/>
        <color theme="1"/>
        <rFont val="Gill Sans MT"/>
        <family val="2"/>
        <scheme val="minor"/>
      </rPr>
      <t>(If applicable)</t>
    </r>
  </si>
  <si>
    <t>Sapphire code for the screen. Be careful as one wrong digit can we a very different product</t>
  </si>
  <si>
    <t xml:space="preserve">Some are showing 12 digits but if you need 13 please put a zero in front. </t>
  </si>
  <si>
    <t>Wall Manual</t>
  </si>
  <si>
    <t>Portable</t>
  </si>
  <si>
    <t>Types of screen are :-</t>
  </si>
  <si>
    <t>Fixed frame</t>
  </si>
  <si>
    <t>Electric Projector Screen</t>
  </si>
  <si>
    <t xml:space="preserve">We list our screens with the wdth of the fabric in MM's. </t>
  </si>
  <si>
    <t>We stock  1:1 "square format" ratio. 4:3 "Video format", 16:9 mainly "Home Cinema" and the newer 16:10 "Computer Widescreen"</t>
  </si>
  <si>
    <t xml:space="preserve">All Sapphire electric Projection screens come with a remote control included. Some are infra Red which are line of sight, others are radio controlled. These work over long distances. </t>
  </si>
  <si>
    <t xml:space="preserve">Sapphire have solutions for most situations - with the RS232, Closed contact or 12V trigger built into a lot of our products. </t>
  </si>
  <si>
    <t>SWS270WSF10</t>
  </si>
  <si>
    <t>Square</t>
  </si>
  <si>
    <t>Manual Wall Screen</t>
  </si>
  <si>
    <t>Portable Screen</t>
  </si>
  <si>
    <t>Electric Screen</t>
  </si>
  <si>
    <t>Fixed Frame Screen</t>
  </si>
  <si>
    <t>Projection Board</t>
  </si>
  <si>
    <t>Tripod Screen</t>
  </si>
  <si>
    <t>Table Top</t>
  </si>
  <si>
    <t>Premium Portable</t>
  </si>
  <si>
    <t>Rapid Fold Events</t>
  </si>
  <si>
    <t>Premium Manual</t>
  </si>
  <si>
    <t>Standard Manual</t>
  </si>
  <si>
    <t>Smart Move 2 motor</t>
  </si>
  <si>
    <t>In-Ceiling Tab Tension</t>
  </si>
  <si>
    <t>In-Ceiling Screen</t>
  </si>
  <si>
    <r>
      <rPr>
        <b/>
        <sz val="11"/>
        <color theme="1"/>
        <rFont val="Gill Sans MT"/>
        <family val="2"/>
        <scheme val="minor"/>
      </rPr>
      <t>View Size</t>
    </r>
    <r>
      <rPr>
        <sz val="11"/>
        <color theme="1"/>
        <rFont val="Gill Sans MT"/>
        <family val="2"/>
        <scheme val="minor"/>
      </rPr>
      <t xml:space="preserve">
 width mm</t>
    </r>
  </si>
  <si>
    <t>2400mm</t>
  </si>
  <si>
    <t>2000mm</t>
  </si>
  <si>
    <t>1800mm</t>
  </si>
  <si>
    <t xml:space="preserve">2700mm </t>
  </si>
  <si>
    <t>1500mm</t>
  </si>
  <si>
    <t>4000mm</t>
  </si>
  <si>
    <t>3500mm</t>
  </si>
  <si>
    <t>3000mm</t>
  </si>
  <si>
    <t>2660mm</t>
  </si>
  <si>
    <t>2340mm</t>
  </si>
  <si>
    <t>2200mm</t>
  </si>
  <si>
    <t>2030mm</t>
  </si>
  <si>
    <t>1710mm</t>
  </si>
  <si>
    <t>1620mm</t>
  </si>
  <si>
    <t>1220mm</t>
  </si>
  <si>
    <t>4040mm</t>
  </si>
  <si>
    <t>3650mm</t>
  </si>
  <si>
    <t>3050mm</t>
  </si>
  <si>
    <t>2440mm</t>
  </si>
  <si>
    <t>5000mm</t>
  </si>
  <si>
    <t>4880mm</t>
  </si>
  <si>
    <t>4500mm</t>
  </si>
  <si>
    <t>Pole Support</t>
  </si>
  <si>
    <t>Tensioned arms</t>
  </si>
  <si>
    <t>Adjustable format</t>
  </si>
  <si>
    <t>6000mm</t>
  </si>
  <si>
    <t>Radio</t>
  </si>
  <si>
    <t>Infra-red</t>
  </si>
  <si>
    <t>RS232,Contacts</t>
  </si>
  <si>
    <t>Needs Optional STR</t>
  </si>
  <si>
    <t>Your Screen 
SKU to order</t>
  </si>
  <si>
    <t>2700mm</t>
  </si>
  <si>
    <t>400mm</t>
  </si>
  <si>
    <t>500mm</t>
  </si>
  <si>
    <t>Flight case and fabric</t>
  </si>
  <si>
    <t>Channel fix/SR</t>
  </si>
  <si>
    <t>1550mm</t>
  </si>
  <si>
    <t>Front/Rear
Fabric Type</t>
  </si>
  <si>
    <t>Rear Projection</t>
  </si>
  <si>
    <t>Accoustic Weave</t>
  </si>
  <si>
    <t>5080mm</t>
  </si>
  <si>
    <t>RS232,Contacts,12V trig</t>
  </si>
  <si>
    <t>SRC7</t>
  </si>
  <si>
    <t>POA</t>
  </si>
  <si>
    <t>SEWS500WSF-A</t>
  </si>
  <si>
    <t>SFFS305RP-WSF-FABRIC</t>
  </si>
  <si>
    <t>ConXeasy S302 Speakers - White</t>
  </si>
  <si>
    <t>ConXeasy S603 Speakers - White</t>
  </si>
  <si>
    <t>STRV102D</t>
  </si>
  <si>
    <t>STRV102  Sapphire Mobile Audio Visual Trolley</t>
  </si>
  <si>
    <t>STRV102L</t>
  </si>
  <si>
    <t>STRV102 Sapphire Mobile Audio Visual Trolley</t>
  </si>
  <si>
    <t>SSB75</t>
  </si>
  <si>
    <t>Brackets</t>
  </si>
  <si>
    <t>75cm Extention Screen Extention Brackets (Pair)</t>
  </si>
  <si>
    <t>SSB50</t>
  </si>
  <si>
    <t>L Shape Screen Bracket 50cm pair</t>
  </si>
  <si>
    <t>SAPUM100200</t>
  </si>
  <si>
    <t>SAPUM70120</t>
  </si>
  <si>
    <t>SSB30</t>
  </si>
  <si>
    <t>Screen Extension Bracket 30cm Pair</t>
  </si>
  <si>
    <t>SSM-BR</t>
  </si>
  <si>
    <t>Smart Move Ceiling Bracket</t>
  </si>
  <si>
    <t>VGA-HD10</t>
  </si>
  <si>
    <t>Cables and Splitters</t>
  </si>
  <si>
    <t>10m High Quality VGA Cable Male2Male</t>
  </si>
  <si>
    <t>VGA-HD10F</t>
  </si>
  <si>
    <t>10m Male Female VGA Cable</t>
  </si>
  <si>
    <t>VGA-HD20F</t>
  </si>
  <si>
    <t>20m VGA Cable (Male - Female)</t>
  </si>
  <si>
    <t>VGA-HD02</t>
  </si>
  <si>
    <t>2m High Quality VGA Cable</t>
  </si>
  <si>
    <t>VGA-HD03</t>
  </si>
  <si>
    <t>3m High Quality VGA Cable</t>
  </si>
  <si>
    <t>5mScartCable</t>
  </si>
  <si>
    <t>5m Scart Cable</t>
  </si>
  <si>
    <t>VGA-HD05F</t>
  </si>
  <si>
    <t>5m VGA Cable m-f</t>
  </si>
  <si>
    <t>RS232Switch</t>
  </si>
  <si>
    <t>RS232 Switch USB and Seral Control</t>
  </si>
  <si>
    <t>USBgenaf2bf</t>
  </si>
  <si>
    <t>USB Gender changer Type a female to Type b Female</t>
  </si>
  <si>
    <t>USB1029</t>
  </si>
  <si>
    <t>USB to 9 Pin Serial cable</t>
  </si>
  <si>
    <t>ConXeasy</t>
  </si>
  <si>
    <t>ConXeasy S603 Speakers - Black</t>
  </si>
  <si>
    <t>RemoteSB602</t>
  </si>
  <si>
    <t>ConXeasy SB602 Remote</t>
  </si>
  <si>
    <t>ConXeasy SB603 Soundbar - Black</t>
  </si>
  <si>
    <t>ConXeasy SB603 Soundbar - White</t>
  </si>
  <si>
    <t>ConXeasy SWA401 Speakers &amp; Wall Amplifier - Black</t>
  </si>
  <si>
    <t>ConXeasy SWA401 Speakers &amp; Wall Amplifier - White</t>
  </si>
  <si>
    <t>CONXSSB2</t>
  </si>
  <si>
    <t>ConXeasy Universal Soundbar Bracket</t>
  </si>
  <si>
    <t>CONXSBB1</t>
  </si>
  <si>
    <t>Soundbar Bracket SMS type</t>
  </si>
  <si>
    <t>Fixed Frame Screens</t>
  </si>
  <si>
    <t>2.4M 4by3 Format Front Projection Rapid Fold FABRIC</t>
  </si>
  <si>
    <t>3m Sapphire Fixed Frame Front Projection Screen White Fabric 16:9 Format</t>
  </si>
  <si>
    <t>Fixed Frame (Front - 77) Projection Screen - 1710 x 960 16:9 Channel Fix</t>
  </si>
  <si>
    <t>Fixed Frame (Front - 92) Projection Screen - 2030 x 1145 16:9</t>
  </si>
  <si>
    <t>Fixed Frame (Front 120) Projection Screen - 2660 x 1500 16:9</t>
  </si>
  <si>
    <t>Fixed Frame (front) with channel fix 16:10</t>
  </si>
  <si>
    <t>Fixed Frame (front) with channel fix 16:9</t>
  </si>
  <si>
    <t>Fixed Frame (Rear) Projection Screen -  3048 x 2286 4:3</t>
  </si>
  <si>
    <t>Fixed Frame (Rear) Projection Screen - 1710 X 1280 4:3</t>
  </si>
  <si>
    <t>Rapid Fold Front Projection Screen Frame</t>
  </si>
  <si>
    <t>Sapphire Ambient Light Fixed Screen 100 inch</t>
  </si>
  <si>
    <t>Sapphire Fixed Farme Screen 16:9 format 2D3D</t>
  </si>
  <si>
    <t>Sapphire Fixed Frame 2.3m with a Slim Bezel</t>
  </si>
  <si>
    <t>Sapphire fixed frame front projection 16:10</t>
  </si>
  <si>
    <t>Sapphire Fixed Frame Front Projection 3500 x 1962 16.9</t>
  </si>
  <si>
    <t>Sapphire fixed frame front projection screen 4M 16:9</t>
  </si>
  <si>
    <t>Sapphire Fixed frame Screen 16:9 format 2D3D</t>
  </si>
  <si>
    <t>SFSC350-10</t>
  </si>
  <si>
    <t>SSLECT2B</t>
  </si>
  <si>
    <t>Sound Lectern Black</t>
  </si>
  <si>
    <t>Lecterns</t>
  </si>
  <si>
    <t>LECT2beech</t>
  </si>
  <si>
    <t>LECTURN BEECH</t>
  </si>
  <si>
    <t>Portable Projector Screens</t>
  </si>
  <si>
    <t>16:9 60 inch Floor Screen</t>
  </si>
  <si>
    <t>16:9 80 inch Floor Screen</t>
  </si>
  <si>
    <t>16:9 92 inch Floor Screen</t>
  </si>
  <si>
    <t>16:9 Floor screen with central pole support</t>
  </si>
  <si>
    <t>4:3 100 inch Floor Screen</t>
  </si>
  <si>
    <t>4:3 60 inch Floor Screen</t>
  </si>
  <si>
    <t>4:3 80 inch Floor Screen</t>
  </si>
  <si>
    <t>4:3 Floor screen with central pole support</t>
  </si>
  <si>
    <t xml:space="preserve">Fast Fold Front Projection Screen </t>
  </si>
  <si>
    <t>Projector Screen  tabletop 50 inch</t>
  </si>
  <si>
    <t>Rapid Fold 203 RPFABRIC</t>
  </si>
  <si>
    <t>Rapid Fold Front Projection Screen - 3048 x 2286 4:3 Fabric</t>
  </si>
  <si>
    <t>Rapid Fold Front Projection Screen Frame  2032 x 1524 4:3</t>
  </si>
  <si>
    <t>Rapid Fold Front Projection Screen Frame  2438 x 1828  4:3</t>
  </si>
  <si>
    <t>Rapid Fold Front Projection Screen Frame - 3048 x 2286 4:3</t>
  </si>
  <si>
    <t>Rapid Fold Front Projection Screen Frame - 4046 x 3048 4:3</t>
  </si>
  <si>
    <t>Rapid Fold Front Projection Screen Frame 3657 x 2743 4:3</t>
  </si>
  <si>
    <t>Rapid Fold Rear Projection 305</t>
  </si>
  <si>
    <t>Rapid Fold Rear Projection Screen  3048 x 2286 4:3 Fabric</t>
  </si>
  <si>
    <t>Rapid Fold Rear Projection Screen  3657 x 2743 4:3</t>
  </si>
  <si>
    <t>Rapid Fold Rear Projection Screen 2032 x 1524 4:3</t>
  </si>
  <si>
    <t>Rapid Fold Rear Projection Screen 4046 x 3048 4:3 format</t>
  </si>
  <si>
    <t>Sapphire 1.80m Tripod Screen</t>
  </si>
  <si>
    <t>SFFS244RP Rapid Fold Rear Projection Screen</t>
  </si>
  <si>
    <t>SFFS404FR-FABRIC</t>
  </si>
  <si>
    <t>SPB1200</t>
  </si>
  <si>
    <t>Projection Boards</t>
  </si>
  <si>
    <t>1.2 x1.2m Projection Board</t>
  </si>
  <si>
    <t>SPB1500</t>
  </si>
  <si>
    <t>1.5 x 1.2m Projection Board</t>
  </si>
  <si>
    <t>SPB1600</t>
  </si>
  <si>
    <t>1.6 x 1.2m Projection Board</t>
  </si>
  <si>
    <t>1.8 x 1.2m Semi Matt White Board</t>
  </si>
  <si>
    <t>SPB2400</t>
  </si>
  <si>
    <t>2.4 x 1.2m Projection Board</t>
  </si>
  <si>
    <t>2m x 1.2m Projection Board</t>
  </si>
  <si>
    <t>SAPM04</t>
  </si>
  <si>
    <t>Projector and Plasma Mounts</t>
  </si>
  <si>
    <t>SAPM04 Home Cinema Ceiling Mount</t>
  </si>
  <si>
    <t>SAPUPM01</t>
  </si>
  <si>
    <t>Sapphire 13cm to 65cm Ceiling Mount</t>
  </si>
  <si>
    <t>SAPWM05</t>
  </si>
  <si>
    <t>Sapphire Universal Plasma flat wall mount</t>
  </si>
  <si>
    <t>SAPPL02</t>
  </si>
  <si>
    <t>Projector Lift</t>
  </si>
  <si>
    <t>Sapphire Electronic Projector in Ceiling Lift</t>
  </si>
  <si>
    <t>SAPPL03</t>
  </si>
  <si>
    <t>SAPPL03 Sapphire Electronic Projector in Ceiling Lift For Large Projectors</t>
  </si>
  <si>
    <t>SAPPL04</t>
  </si>
  <si>
    <t>Projector Screens Electric</t>
  </si>
  <si>
    <t>4M SMART MOVE 16:10 FORMAT</t>
  </si>
  <si>
    <t>4M SMART MOVE 16:9 FORMAT</t>
  </si>
  <si>
    <t>Electric Floor up Screen 4:3</t>
  </si>
  <si>
    <t>Electric wall screen 1.5m w/remote 1:1 Ratio</t>
  </si>
  <si>
    <t>Electric180BV-Inline</t>
  </si>
  <si>
    <t>Electric180BV 1.8m Electric - Inline Switch</t>
  </si>
  <si>
    <t>Electric180WSF</t>
  </si>
  <si>
    <t>Electric180WSF 1.8m Electric</t>
  </si>
  <si>
    <t>SEWS-ATR-SW</t>
  </si>
  <si>
    <t>Low Voltage Wall Switch for ATR Screens</t>
  </si>
  <si>
    <t>Radio Trigger for Sapphire Screen (with box)</t>
  </si>
  <si>
    <t>Sapphire 1.5m electric screen</t>
  </si>
  <si>
    <t>Sapphire 6m electric alum 4:3 screen</t>
  </si>
  <si>
    <t>Sapphire Electric 5m 4:3 with seam</t>
  </si>
  <si>
    <t>Sapphire Electric Screen 1.8M 16.10 format ATR</t>
  </si>
  <si>
    <t>Sapphire electric screen 1.8m 16:9 format ATR</t>
  </si>
  <si>
    <t>Sapphire Electric Screen 1.8Mtr 4:3 ATR</t>
  </si>
  <si>
    <t>Sapphire electric screen 2.0m 16:9 format ATR</t>
  </si>
  <si>
    <t>Sapphire Electric Screen 2.4M 16.10 format ATR</t>
  </si>
  <si>
    <t>Sapphire electric screen 2.4m 16:9 format ATR</t>
  </si>
  <si>
    <t>Sapphire Electric Screen 2.4Mtr 4:3 ATR</t>
  </si>
  <si>
    <t>Sapphire Electric Screen 2.7m 16.9 ATR</t>
  </si>
  <si>
    <t>Sapphire Electric Screen 2.7m 4.3 ATR</t>
  </si>
  <si>
    <t>Sapphire Electric Screen 2M 16.10 format ATR</t>
  </si>
  <si>
    <t>Sapphire Electric Screen 2Mtr 4:3 ATR</t>
  </si>
  <si>
    <t>Sapphire Electric Screen 3.5m 16:10 format</t>
  </si>
  <si>
    <t>Sapphire Electric Screen 3mtr 1:1 gain</t>
  </si>
  <si>
    <t>Sapphire Electric Screen 4m 16:10 format</t>
  </si>
  <si>
    <t>Sapphire Electric Screen 5m 16:10 format with seam</t>
  </si>
  <si>
    <t>Sapphire Electric Screen Accoustic Transparent  Remote Control Infrared 2.0m 16:9 Format</t>
  </si>
  <si>
    <t>Sapphire Electric Screen Accoustic Transparent Remote Control Infrared 2.4m A 16:9 Format</t>
  </si>
  <si>
    <t>Sapphire Tab Tensioned screen 2.4m 16:9 white case</t>
  </si>
  <si>
    <t>Sapphire Tab Tensioned screen 2.4m 4:3 white case</t>
  </si>
  <si>
    <t>Sapphire Tab Tensioned screen 2m 16:9 white case</t>
  </si>
  <si>
    <t>Sapphire Tab Tensioned screen 2m 4:3 white case</t>
  </si>
  <si>
    <t>Sapphire Tab Tensioned screen 3.5m 16:9 white case</t>
  </si>
  <si>
    <t>Sapphire Tab Tensioned screen 3m 16by9 white case</t>
  </si>
  <si>
    <t>Sapphire Tab Tensioned screen 3m 4:3 white case</t>
  </si>
  <si>
    <t>SETC240WSF-AWOVEN</t>
  </si>
  <si>
    <t xml:space="preserve">Sapphire Electric Screen 2.7m </t>
  </si>
  <si>
    <t>SEWS300BV-A 868 frequency</t>
  </si>
  <si>
    <t>SEWS350BV-A (Channel Fix)</t>
  </si>
  <si>
    <t>SEWS400BS (steel casing not channel fix with seam)</t>
  </si>
  <si>
    <t>SEWS450BV - NOT CHANNEL FIX with seam</t>
  </si>
  <si>
    <t>SEWS500WSF-A with seam</t>
  </si>
  <si>
    <t>Smart move 2 motor screen 2.4M with security straps</t>
  </si>
  <si>
    <t>Smart move 2 motor screen 2m 16:10 with security straps</t>
  </si>
  <si>
    <t>Smart move 2 motor screen 2M with security straps</t>
  </si>
  <si>
    <t>Smart move 2 motor screen 3M 16:9 with security straps</t>
  </si>
  <si>
    <t>Smart move 2 motor screen 3M with security straps</t>
  </si>
  <si>
    <t>SSM350RADC10</t>
  </si>
  <si>
    <t>SSM400RADV with security straps</t>
  </si>
  <si>
    <t>Projector Screens Manual</t>
  </si>
  <si>
    <t>2.0M Projector Wall Screen WSF not chanel fix</t>
  </si>
  <si>
    <t>Manual master screen with aluminium case</t>
  </si>
  <si>
    <t>Manual master screen with aluminium case 4:3</t>
  </si>
  <si>
    <t>Rapid Fold 244 Front Projection 16.10 Format</t>
  </si>
  <si>
    <t>Sapphire 1.8m wall screen WSF not channel fix</t>
  </si>
  <si>
    <t>Sapphire 1500x1500cm Wall Screen</t>
  </si>
  <si>
    <t>Sapphire 1800x1800cm Wall Screen not chanel fix</t>
  </si>
  <si>
    <t>Sapphire 180BV  not chanel fix</t>
  </si>
  <si>
    <t>Sapphire 2.4m square manual screen slow retraction</t>
  </si>
  <si>
    <t>Sapphire 2000x2000cm  not chanel fix</t>
  </si>
  <si>
    <t>Sapphire Manual Projector Screen not chanel fix</t>
  </si>
  <si>
    <t>Sapphire Manual Screen 2.0M 4:3 Format not chanel fix</t>
  </si>
  <si>
    <t>Sapphire Manual Screen 2.0m ASR 4:3 Format</t>
  </si>
  <si>
    <t>Sapphire Manual screen 2.4M ASR2 16:9 format</t>
  </si>
  <si>
    <t>Sapphire Manual Screen 2.4m ASR2 4:3 FORMAT</t>
  </si>
  <si>
    <t>Sapphire Manual Screen 2.7m  16:9 not channel fix</t>
  </si>
  <si>
    <t>Sapphire Manual Screen chanel fix 4:3 ASR2</t>
  </si>
  <si>
    <t>Sapphire manual wall screen 1.8m 16:9 format  ASR2</t>
  </si>
  <si>
    <t>SWS150WSF Sapphire 16:9 screen</t>
  </si>
  <si>
    <t>SWS150WSF10</t>
  </si>
  <si>
    <t>SWS180WSF10 (16:10)</t>
  </si>
  <si>
    <t>SWS200WSF10 (16:10)</t>
  </si>
  <si>
    <t>SWS240WSF not chanel fix</t>
  </si>
  <si>
    <t>SWS240WSF10 16:10</t>
  </si>
  <si>
    <t>SWS270BV manual video format not chanel fix</t>
  </si>
  <si>
    <t>Table top screen 40 inch diagonal W81cm x H61cm</t>
  </si>
  <si>
    <t>Rapid Fold Screens</t>
  </si>
  <si>
    <t>Drapery kit 180 in Black</t>
  </si>
  <si>
    <t>Rapid Fold 203 Front Projection 16:9</t>
  </si>
  <si>
    <t>Rapid Fold 244 Front Projection 16:9</t>
  </si>
  <si>
    <t>Rapid Fold 305 Front Projection 16:9</t>
  </si>
  <si>
    <t>Rapid Fold 365 Front Projection 16:9</t>
  </si>
  <si>
    <t>Rapid Fold 404 Front Projection 16:9</t>
  </si>
  <si>
    <t>Rapid Fold Rear Projection Screen - 2438 x 1828 4:3 Fabric</t>
  </si>
  <si>
    <t>SFFS203RP-WSF-FABRIC</t>
  </si>
  <si>
    <t>SFFS244FR-WSF Fabric</t>
  </si>
  <si>
    <t>SFFS305FR-WSF Fabric Only</t>
  </si>
  <si>
    <t>SFFS305RP-WSF-FABRIC ONLY</t>
  </si>
  <si>
    <t>SFFS365RP-WSF-Fabric</t>
  </si>
  <si>
    <t>SFFS404RP-WSF-Fabric</t>
  </si>
  <si>
    <t>SFFS508FR-Fabric</t>
  </si>
  <si>
    <t>SFFS508RP-Fabric</t>
  </si>
  <si>
    <t>2SFFS244RPSkirt</t>
  </si>
  <si>
    <t>Skirt for 2SFFS244RP</t>
  </si>
  <si>
    <t>IRR</t>
  </si>
  <si>
    <t>Remotes</t>
  </si>
  <si>
    <t>IRR Infa-Red Remote Control</t>
  </si>
  <si>
    <t>IRR Kit</t>
  </si>
  <si>
    <t>SESC Remote pack</t>
  </si>
  <si>
    <t>Radio Remote Pack 433 frequency with 12v built in plus 10m lead</t>
  </si>
  <si>
    <t>Sapphire Room Control System 7</t>
  </si>
  <si>
    <t>SteljesAudio</t>
  </si>
  <si>
    <t>SANS1AB</t>
  </si>
  <si>
    <t>Steljes Audio NS1 Speakers Artisian Blue</t>
  </si>
  <si>
    <t>SANS1CB</t>
  </si>
  <si>
    <t>Steljes Audio NS1 Speakers Black</t>
  </si>
  <si>
    <t>SANS1FW</t>
  </si>
  <si>
    <t>Steljes Audio NS1 Speakers Frost White</t>
  </si>
  <si>
    <t>SAN1GMG</t>
  </si>
  <si>
    <t>Steljes Audio NS1 Speakers Gun Metal Grey</t>
  </si>
  <si>
    <t>SANS1GMG</t>
  </si>
  <si>
    <t>SANS1LB</t>
  </si>
  <si>
    <t>Steljes Audio NS1 Speakers Lagoon Blue</t>
  </si>
  <si>
    <t>SANS1SY</t>
  </si>
  <si>
    <t>Steljes Audio NS1 Speakers Solar Yellow</t>
  </si>
  <si>
    <t>SANS1VR</t>
  </si>
  <si>
    <t>Steljes Audio NS1 Speakers Vermilion Red</t>
  </si>
  <si>
    <t>SANS3AB</t>
  </si>
  <si>
    <t>Steljes Audio NS3 Speakers Artisan Blue</t>
  </si>
  <si>
    <t>SANS3B</t>
  </si>
  <si>
    <t>Steljes Audio NS3 Speakers Bamboo</t>
  </si>
  <si>
    <t>SAN3CB</t>
  </si>
  <si>
    <t>Steljes Audio NS3 Speakers Coal Black</t>
  </si>
  <si>
    <t>SANS3FW</t>
  </si>
  <si>
    <t>Steljes Audio NS3 Speakers Frost White</t>
  </si>
  <si>
    <t>SANS3GMG</t>
  </si>
  <si>
    <t>Steljes Audio NS3 Speakers Gun Metal Grey</t>
  </si>
  <si>
    <t>SANS3LB</t>
  </si>
  <si>
    <t>Steljes Audio NS3 Speakers Lagoon Blue</t>
  </si>
  <si>
    <t>SANS3SY</t>
  </si>
  <si>
    <t>Steljes Audio NS3 Speakers Solar Yellow</t>
  </si>
  <si>
    <t>SANS3VR</t>
  </si>
  <si>
    <t>Steljes Audio NS3 Speakers Vermilion Red</t>
  </si>
  <si>
    <t>SANS6B</t>
  </si>
  <si>
    <t>Steljes Audio NS6 Bamboo</t>
  </si>
  <si>
    <t>SAMS2</t>
  </si>
  <si>
    <t>Steljes Audio SAMS2 Black Music streamer</t>
  </si>
  <si>
    <t xml:space="preserve">Tab Tensioned </t>
  </si>
  <si>
    <t>Sapphire 2.4m Tab tensioned recessed screen</t>
  </si>
  <si>
    <t>Sapphire 2.7m Tab tensioned recessed screen</t>
  </si>
  <si>
    <t>Sapphire 2m Tab tensioned recessed screen</t>
  </si>
  <si>
    <t>Tripod Bags</t>
  </si>
  <si>
    <t>Tripod Projector Screens</t>
  </si>
  <si>
    <t>Sapphire 1.5m Tripod Screen</t>
  </si>
  <si>
    <t>Sapphire 2.0m Tripod Screen</t>
  </si>
  <si>
    <t>Sapphire Tripod Projector Screen</t>
  </si>
  <si>
    <t>STRVE1</t>
  </si>
  <si>
    <t>Trolleys and Carts</t>
  </si>
  <si>
    <t>Electric trolley lift for large LCD/Boards</t>
  </si>
  <si>
    <t>Shure EZG12</t>
  </si>
  <si>
    <t>Shure EZG12 12 Gooseneck Lecturn Mic</t>
  </si>
  <si>
    <t>Live 
Stock</t>
  </si>
  <si>
    <t>partno</t>
  </si>
  <si>
    <t xml:space="preserve"> category_name</t>
  </si>
  <si>
    <t xml:space="preserve"> product_name</t>
  </si>
  <si>
    <t>60614</t>
  </si>
  <si>
    <t>61532</t>
  </si>
  <si>
    <t>61533</t>
  </si>
  <si>
    <t>61493</t>
  </si>
  <si>
    <t>61492</t>
  </si>
  <si>
    <t>61495</t>
  </si>
  <si>
    <t>61494</t>
  </si>
  <si>
    <t>Sswitp</t>
  </si>
  <si>
    <t>Simple rocker switch for Sapphire electric projection screens</t>
  </si>
  <si>
    <t>TW10bundle</t>
  </si>
  <si>
    <t>TW10 projector Bundle</t>
  </si>
  <si>
    <t>SPD</t>
  </si>
  <si>
    <t>Sapphire Easy Reach Pole 1m</t>
  </si>
  <si>
    <t>``</t>
  </si>
  <si>
    <t xml:space="preserve"> Stock_Available</t>
  </si>
  <si>
    <t>Control System
RS232,Contacts,
12V Trigger</t>
  </si>
  <si>
    <t>EAN
Number</t>
  </si>
  <si>
    <t>Matt White Front</t>
  </si>
  <si>
    <t>Product 
Website link</t>
  </si>
  <si>
    <t>Type as start point</t>
  </si>
  <si>
    <r>
      <rPr>
        <sz val="11"/>
        <color theme="1"/>
        <rFont val="Gill Sans MT"/>
        <family val="2"/>
        <scheme val="minor"/>
      </rPr>
      <t xml:space="preserve">If Electric   </t>
    </r>
    <r>
      <rPr>
        <sz val="10"/>
        <color theme="1"/>
        <rFont val="Gill Sans MT"/>
        <family val="2"/>
        <scheme val="minor"/>
      </rPr>
      <t xml:space="preserve">
Type of 
remote 
included</t>
    </r>
  </si>
  <si>
    <t>Carriage
Charge</t>
  </si>
  <si>
    <t>Start Filter Selection 
HERE           =&gt;</t>
  </si>
  <si>
    <t>Weight</t>
  </si>
  <si>
    <t>SPB2381610</t>
  </si>
  <si>
    <t>Sapphire fixed frame 203cm 16:10 slim Bezel</t>
  </si>
  <si>
    <t>Sapphire 1.5m Electric Screen</t>
  </si>
  <si>
    <t>2210mm</t>
  </si>
  <si>
    <t>Ambient Light Fabric</t>
  </si>
  <si>
    <t>Aspect</t>
  </si>
  <si>
    <t>Fabric</t>
  </si>
  <si>
    <t>http://www.sapphireav.com/search.asp?keyword=ssb30&amp;search.x=0&amp;search.y=0</t>
  </si>
  <si>
    <t>SSM-WS</t>
  </si>
  <si>
    <t>WWW.sappl03</t>
  </si>
  <si>
    <t>Logic bank for complimentary products</t>
  </si>
  <si>
    <t>http://www.sapphireav.com/Sapphire-Electronic-Projector-Inceiling-Lift-To-Suit-Larger-Projectors_p_547.html</t>
  </si>
  <si>
    <t>iIf product = SESC* then SAPPL03 and link</t>
  </si>
  <si>
    <t>http://www.sapphireav.com/Sapphire-Auto-Trigger-System_p_16.html</t>
  </si>
  <si>
    <t>If product = SEWS*less than of =  SEWS400 or SETTS less than of = to SETTS300* then product = SSB30</t>
  </si>
  <si>
    <t>If product = SEWS*less or SETTS* or SSM* then product = STR</t>
  </si>
  <si>
    <t>http://www.sapphireav.com/AV-Cabinet-with-three-shelves-light_p_450.html</t>
  </si>
  <si>
    <t>If Product = SEWS300* to SEWS500 then product = STRV102L</t>
  </si>
  <si>
    <t>Web link</t>
  </si>
  <si>
    <t>Sub Type</t>
  </si>
  <si>
    <t>Product Code('s)</t>
  </si>
  <si>
    <t>EAN</t>
  </si>
  <si>
    <t>Product Type</t>
  </si>
  <si>
    <t>Viewing Width</t>
  </si>
  <si>
    <t>Remote</t>
  </si>
  <si>
    <t>Controls</t>
  </si>
  <si>
    <t>n/a</t>
  </si>
  <si>
    <t>1250mm</t>
  </si>
  <si>
    <t xml:space="preserve"> </t>
  </si>
  <si>
    <t>All ATR screens</t>
  </si>
  <si>
    <t>Swithc</t>
  </si>
  <si>
    <t>SSB</t>
  </si>
  <si>
    <t>SEWSscreens</t>
  </si>
  <si>
    <t>SWS</t>
  </si>
  <si>
    <t>SETTS</t>
  </si>
  <si>
    <t>SETC</t>
  </si>
  <si>
    <t>Switch</t>
  </si>
  <si>
    <t>option 1</t>
  </si>
  <si>
    <t>option 2</t>
  </si>
  <si>
    <t>SESC</t>
  </si>
  <si>
    <t>SSM</t>
  </si>
  <si>
    <t>Swith</t>
  </si>
  <si>
    <t>SAPL03</t>
  </si>
  <si>
    <t>SFL</t>
  </si>
  <si>
    <t>STS</t>
  </si>
  <si>
    <t>Bag</t>
  </si>
  <si>
    <t>VGA</t>
  </si>
  <si>
    <t>SFFS</t>
  </si>
  <si>
    <t>Drape kit</t>
  </si>
  <si>
    <t>option 3</t>
  </si>
  <si>
    <t>FABRIC</t>
  </si>
  <si>
    <t>Option 1</t>
  </si>
  <si>
    <t>Web Links</t>
  </si>
  <si>
    <t>Option2</t>
  </si>
  <si>
    <t>Option3</t>
  </si>
  <si>
    <t>Sapphire 2m electric screen 16:9 format radio remote control</t>
  </si>
  <si>
    <t>Sapphire Electric 2.4m Radio control WSF</t>
  </si>
  <si>
    <t>SEWS240RAD-A 4:3</t>
  </si>
  <si>
    <t>Carriage £'s</t>
  </si>
  <si>
    <t>Product Weight kg's</t>
  </si>
  <si>
    <t>You may also like the products we recommend below</t>
  </si>
  <si>
    <t>Stock Available</t>
  </si>
  <si>
    <t xml:space="preserve">Electric Floor </t>
  </si>
  <si>
    <t xml:space="preserve">Tab Tensioned Ch Fix </t>
  </si>
  <si>
    <t>Option4</t>
  </si>
  <si>
    <t>Accoustic top border</t>
  </si>
  <si>
    <t>Clici logo
for website</t>
  </si>
  <si>
    <t xml:space="preserve">               Click images for link weblinks</t>
  </si>
  <si>
    <t xml:space="preserve">   </t>
  </si>
  <si>
    <t xml:space="preserve">              Click images for link weblinks</t>
  </si>
  <si>
    <t>Our recommendations are below. Cut and paste into your quote as required. **Note maximum of five products**</t>
  </si>
  <si>
    <t xml:space="preserve">If you need any help with your quote please call 01633 895918 (option 1) </t>
  </si>
  <si>
    <t xml:space="preserve">or we are available on Skype </t>
  </si>
  <si>
    <t>(sapphireav) - click the link =</t>
  </si>
  <si>
    <t>Radio/Ceiling Eyelet</t>
  </si>
  <si>
    <t>FABRIC ONLY</t>
  </si>
  <si>
    <t>SFFS244FR-WSF-Fabric</t>
  </si>
  <si>
    <t>SFFS305FR-WSF-Fabric</t>
  </si>
  <si>
    <t>SFFS203RPFabric</t>
  </si>
  <si>
    <t>SFFS244RP-WSF-Fabric</t>
  </si>
  <si>
    <t>SFFS365RP-Fabric</t>
  </si>
  <si>
    <t>SFFS203RP-WSF-Fabric</t>
  </si>
  <si>
    <t>SFFS305RP-WSF-Fabric</t>
  </si>
  <si>
    <t>SFFS404FR-Fabric</t>
  </si>
  <si>
    <t>SFFS244FRFabric</t>
  </si>
  <si>
    <t>SETTS200WSF-AW-WOVEN</t>
  </si>
  <si>
    <t>SETTS240WSF-AW-WOVEN</t>
  </si>
  <si>
    <t>SETTS300WSF-AW-WOVEN</t>
  </si>
  <si>
    <t>Portable Screen Fabric</t>
  </si>
  <si>
    <t>SFFS244WSF10FR-FABRIC</t>
  </si>
  <si>
    <t>SFFS203FR-WSF-fabric</t>
  </si>
  <si>
    <t>SFFS203FR10-Fabric</t>
  </si>
  <si>
    <t>SFFS203RP10-Fabric</t>
  </si>
  <si>
    <t>SFFS203RP10</t>
  </si>
  <si>
    <t>SFFS365FR10-Fabric</t>
  </si>
  <si>
    <t>SFFS365RP10</t>
  </si>
  <si>
    <t>SFFS404FR10-Fabric</t>
  </si>
  <si>
    <t>SFFS404RP10</t>
  </si>
  <si>
    <t>SFFS244WSF10 FR-Fabric</t>
  </si>
  <si>
    <t>SFSC171-AT</t>
  </si>
  <si>
    <t>SFSC350-AT</t>
  </si>
  <si>
    <t>SFSC350 Woven</t>
  </si>
  <si>
    <t>SFSC450</t>
  </si>
  <si>
    <t>SESC400BWSF-A2</t>
  </si>
  <si>
    <t>4m 16:9 In ceiling screen</t>
  </si>
  <si>
    <t>SETTS400WSF-AW10</t>
  </si>
  <si>
    <t>SFFS203FR Fabric Front</t>
  </si>
  <si>
    <t>SFFS244RP-10-Fabric</t>
  </si>
  <si>
    <t>SFFS244RP-10 Fabric</t>
  </si>
  <si>
    <t>SFFS305FR10-Fabric</t>
  </si>
  <si>
    <t>SFFS305FR10 - Fabric</t>
  </si>
  <si>
    <t>SFFS404FR10</t>
  </si>
  <si>
    <t>SFFS404RP10-Fabric</t>
  </si>
  <si>
    <t>SFFS365FR-WSF-Fabric</t>
  </si>
  <si>
    <t>SFFS404FR-WSF-Fabric</t>
  </si>
  <si>
    <t>SFFS305RP10-Fabric</t>
  </si>
  <si>
    <t>SFFS365FR-WSF Fabric Only</t>
  </si>
  <si>
    <t>SFFS404FR-WSF Fabric</t>
  </si>
  <si>
    <t>SFFS365RP10-Fabric</t>
  </si>
  <si>
    <t>SFFS203FR10</t>
  </si>
  <si>
    <t>SFFS305RP10</t>
  </si>
  <si>
    <t>SFFS244RP10</t>
  </si>
  <si>
    <t>SFFS244FRWSF-10-Fabric</t>
  </si>
  <si>
    <t>SFFS244FRWSF-10 Fabric</t>
  </si>
  <si>
    <t>SFSC400-AT</t>
  </si>
  <si>
    <t>The problem with Short/Ultra Short throw projectors</t>
  </si>
  <si>
    <t>To ensure that you are not uphappy with the results when using short or especially ultra short throw you need to bear the following in mind. Even the very best fabrics that are non tensions will have slight undullations.</t>
  </si>
  <si>
    <t xml:space="preserve">If you view the back of the fabric and look from the side you will see them. In normal use with a standard projector the fabric will look perfect. However if you use a projector with the light coming from a sharp angel downwards </t>
  </si>
  <si>
    <t xml:space="preserve">the image will have wavy edges and you will even gets some shaddow lines on the screen with ultra short throw. </t>
  </si>
  <si>
    <t>Tensioned fabrics are the answer</t>
  </si>
  <si>
    <t>If you have a dedicated room or do not mind the screen being on show when not in use then the fixed frame products are also tensioned and will give you a perfect image no matter what you are using to project.</t>
  </si>
  <si>
    <t>How can I find what I need for my ultra short throw projector?</t>
  </si>
  <si>
    <t>We have a range of solutions to the short throw problem. Unfortunately we cannot recommend a manual wall screen for ultra short throw. With the need for perfection comes extra cost .  We recomend the Tab Tensioned range of surface mount or in-ceiling screens.</t>
  </si>
  <si>
    <t>Manual Screen - not recommended</t>
  </si>
  <si>
    <t>In-Celing electric Screen</t>
  </si>
  <si>
    <t>Surface mount electric  -  Select Electric in the yellow filter, then in the "Sub Type" to the right select "Tab Tensioned Ch Fix". Pick the size and format you require and you will have the right product for your ultra short throw</t>
  </si>
  <si>
    <t xml:space="preserve"> Select Electric in the yellow filter, then in the "Sub Type" to the right select "In-Ceiling Tab Tensioned" . Pick the size and format you require and you will have the right product for your ultra short throw</t>
  </si>
  <si>
    <t>Dedicated Rooms</t>
  </si>
  <si>
    <t>SFFS203Drapekit-Blue</t>
  </si>
  <si>
    <t>SFFS203WSF10Drapekit-Black</t>
  </si>
  <si>
    <t>SFFS203WSFDrapekit-Black</t>
  </si>
  <si>
    <t>SFFS244Drapekit-Blue</t>
  </si>
  <si>
    <t>SFFS244WSF10Drapekit-Black</t>
  </si>
  <si>
    <t>SFFS244WSFDrapekit-Black</t>
  </si>
  <si>
    <t>SFFS305Drapekit-Black</t>
  </si>
  <si>
    <t>SFFS305WSF10Drapekit-Black</t>
  </si>
  <si>
    <t>SFFS305WSFDrapekit-Black</t>
  </si>
  <si>
    <t>SFFS365Drapekit-Black</t>
  </si>
  <si>
    <t>SFFS365WSF10Drapekit-Black</t>
  </si>
  <si>
    <t>SFFS365WSFDrapekit-Black</t>
  </si>
  <si>
    <t>SFFS404Drapekit-Black</t>
  </si>
  <si>
    <t>SFFS404WSFDrapekit-Black</t>
  </si>
  <si>
    <t xml:space="preserve">   Select any of the above or Fixed Frame Screens to have a perfect tensioned surface. If you do not mind the screen in view all the time and you need an Ambient Light solution go to Fixed frame and then Fabric type to select.</t>
  </si>
  <si>
    <t xml:space="preserve">        Sapphire IP Controller</t>
  </si>
  <si>
    <t>NB -Requires Microsoft Excel and-needs macros and web services enabled to have full functions</t>
  </si>
  <si>
    <t>SESC180B1610-A2</t>
  </si>
  <si>
    <t>Fixed Frame (Front) with Channel fix with channel fix16.10</t>
  </si>
  <si>
    <t>SFFS508 Rear Projection</t>
  </si>
  <si>
    <t>Sapphire 4.8m Electric 16:9 Not Channel Fix</t>
  </si>
  <si>
    <t>SETTS240WSF-AW10RP</t>
  </si>
  <si>
    <t>SETTS300WSF-AW10RP</t>
  </si>
  <si>
    <t>SETTS350WSF-AW10RP</t>
  </si>
  <si>
    <t>SEWS488BV Not channel fix</t>
  </si>
  <si>
    <t>SEWS488BWSF-10 Not Channel Fix</t>
  </si>
  <si>
    <t>Sapphire Manual Projector Screen</t>
  </si>
  <si>
    <t>SFFS404WSF10Drapekit-Black</t>
  </si>
  <si>
    <t>STB125150</t>
  </si>
  <si>
    <t>STB180200</t>
  </si>
  <si>
    <t>STB240</t>
  </si>
  <si>
    <t>Wall/ceiling fixing</t>
  </si>
  <si>
    <t>RS232,Contacts NON CHAN FIX</t>
  </si>
  <si>
    <t>No Stock</t>
  </si>
  <si>
    <t>V1.12.15.7.20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</si>
</sst>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
    <numFmt numFmtId="166" formatCode="0.0"/>
  </numFmts>
  <fonts count="34" x14ac:knownFonts="1">
    <font>
      <sz val="11"/>
      <color theme="1"/>
      <name val="Gill Sans MT"/>
      <family val="2"/>
      <scheme val="minor"/>
    </font>
    <font>
      <sz val="11"/>
      <color theme="1"/>
      <name val="Gill Sans MT"/>
      <family val="2"/>
      <scheme val="minor"/>
    </font>
    <font>
      <sz val="18"/>
      <color theme="3"/>
      <name val="Gill Sans MT"/>
      <family val="2"/>
      <scheme val="major"/>
    </font>
    <font>
      <b/>
      <sz val="15"/>
      <color theme="3"/>
      <name val="Gill Sans MT"/>
      <family val="2"/>
      <scheme val="minor"/>
    </font>
    <font>
      <b/>
      <sz val="13"/>
      <color theme="3"/>
      <name val="Gill Sans MT"/>
      <family val="2"/>
      <scheme val="minor"/>
    </font>
    <font>
      <b/>
      <sz val="11"/>
      <color theme="3"/>
      <name val="Gill Sans MT"/>
      <family val="2"/>
      <scheme val="min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
      <sz val="11"/>
      <color theme="0"/>
      <name val="Gill Sans MT"/>
      <family val="2"/>
      <scheme val="minor"/>
    </font>
    <font>
      <sz val="8"/>
      <name val="Gill Sans MT"/>
      <family val="2"/>
      <scheme val="minor"/>
    </font>
    <font>
      <u/>
      <sz val="11"/>
      <color theme="10"/>
      <name val="Gill Sans MT"/>
      <family val="2"/>
      <scheme val="minor"/>
    </font>
    <font>
      <sz val="10"/>
      <color theme="1"/>
      <name val="Gill Sans MT"/>
      <family val="2"/>
      <scheme val="minor"/>
    </font>
    <font>
      <sz val="9"/>
      <color indexed="81"/>
      <name val="Tahoma"/>
      <family val="2"/>
    </font>
    <font>
      <b/>
      <sz val="9"/>
      <color indexed="81"/>
      <name val="Tahoma"/>
      <family val="2"/>
    </font>
    <font>
      <b/>
      <sz val="9"/>
      <color rgb="FF666666"/>
      <name val="Arial"/>
      <family val="2"/>
    </font>
    <font>
      <sz val="14"/>
      <color theme="1"/>
      <name val="Gill Sans MT"/>
      <family val="2"/>
      <scheme val="minor"/>
    </font>
    <font>
      <sz val="16"/>
      <color theme="1"/>
      <name val="Gill Sans MT"/>
      <family val="2"/>
      <scheme val="minor"/>
    </font>
    <font>
      <sz val="11"/>
      <name val="Gill Sans MT"/>
      <family val="2"/>
      <scheme val="minor"/>
    </font>
    <font>
      <sz val="11"/>
      <color theme="10"/>
      <name val="Gill Sans MT"/>
      <family val="2"/>
      <scheme val="minor"/>
    </font>
    <font>
      <u/>
      <sz val="11"/>
      <color theme="1"/>
      <name val="Gill Sans MT"/>
      <family val="2"/>
      <scheme val="minor"/>
    </font>
    <font>
      <sz val="11"/>
      <name val="Arial"/>
      <family val="2"/>
    </font>
    <font>
      <sz val="11"/>
      <name val="Gill Sans MT"/>
      <family val="2"/>
    </font>
    <font>
      <b/>
      <sz val="11"/>
      <name val="Gill Sans MT"/>
      <family val="2"/>
      <scheme val="minor"/>
    </font>
    <font>
      <b/>
      <sz val="11"/>
      <name val="Arial"/>
      <family val="2"/>
    </font>
    <font>
      <sz val="11"/>
      <color rgb="FF201F1E"/>
      <name val="Segoe UI"/>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rgb="FF66CCFF"/>
        <bgColor indexed="64"/>
      </patternFill>
    </fill>
    <fill>
      <patternFill patternType="solid">
        <fgColor theme="4" tint="0.59999389629810485"/>
        <bgColor indexed="64"/>
      </patternFill>
    </fill>
    <fill>
      <patternFill patternType="solid">
        <fgColor rgb="FFFFC000"/>
        <bgColor indexed="64"/>
      </patternFill>
    </fill>
    <fill>
      <patternFill patternType="solid">
        <fgColor rgb="FFD1BB15"/>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103">
    <xf numFmtId="0" fontId="0" fillId="0" borderId="0" xfId="0"/>
    <xf numFmtId="0" fontId="0" fillId="33" borderId="0" xfId="0" applyFill="1"/>
    <xf numFmtId="1" fontId="0" fillId="0" borderId="0" xfId="0" applyNumberFormat="1"/>
    <xf numFmtId="0" fontId="0" fillId="0" borderId="0" xfId="0" applyNumberFormat="1"/>
    <xf numFmtId="0" fontId="0" fillId="35" borderId="0" xfId="0" applyFill="1"/>
    <xf numFmtId="0" fontId="16" fillId="34" borderId="0" xfId="0" applyFont="1" applyFill="1"/>
    <xf numFmtId="0" fontId="19" fillId="0" borderId="0" xfId="42"/>
    <xf numFmtId="0" fontId="0" fillId="37" borderId="0" xfId="0" applyFill="1" applyAlignment="1">
      <alignment wrapText="1"/>
    </xf>
    <xf numFmtId="0" fontId="20" fillId="38" borderId="0" xfId="0" applyFont="1" applyFill="1" applyAlignment="1">
      <alignment wrapText="1"/>
    </xf>
    <xf numFmtId="0" fontId="0" fillId="39" borderId="0" xfId="0" applyFill="1" applyAlignment="1">
      <alignment wrapText="1"/>
    </xf>
    <xf numFmtId="0" fontId="16" fillId="36" borderId="0" xfId="0" applyFont="1" applyFill="1" applyAlignment="1">
      <alignment wrapText="1"/>
    </xf>
    <xf numFmtId="0" fontId="0" fillId="0" borderId="0" xfId="0" applyFill="1"/>
    <xf numFmtId="0" fontId="16" fillId="0" borderId="0" xfId="0" applyFont="1" applyFill="1"/>
    <xf numFmtId="0" fontId="0" fillId="0" borderId="0" xfId="0" applyNumberFormat="1" applyFill="1"/>
    <xf numFmtId="0" fontId="0" fillId="0" borderId="0" xfId="0" applyFill="1" applyAlignment="1">
      <alignment wrapText="1"/>
    </xf>
    <xf numFmtId="0" fontId="16" fillId="0" borderId="0" xfId="0" applyFont="1" applyFill="1" applyAlignment="1">
      <alignment wrapText="1"/>
    </xf>
    <xf numFmtId="0" fontId="20" fillId="0" borderId="0" xfId="0" applyFont="1" applyFill="1" applyAlignment="1">
      <alignment wrapText="1"/>
    </xf>
    <xf numFmtId="0" fontId="0" fillId="0" borderId="0" xfId="0" applyFont="1" applyFill="1"/>
    <xf numFmtId="0" fontId="0" fillId="0" borderId="0" xfId="0" applyFont="1" applyFill="1" applyAlignment="1">
      <alignment wrapText="1"/>
    </xf>
    <xf numFmtId="0" fontId="0" fillId="41" borderId="0" xfId="0" applyFill="1"/>
    <xf numFmtId="0" fontId="0" fillId="42" borderId="0" xfId="0" applyFill="1"/>
    <xf numFmtId="0" fontId="19" fillId="40" borderId="0" xfId="42" applyFill="1"/>
    <xf numFmtId="0" fontId="0" fillId="0" borderId="0" xfId="0" applyAlignment="1"/>
    <xf numFmtId="0" fontId="0" fillId="0" borderId="0" xfId="0" applyProtection="1"/>
    <xf numFmtId="1" fontId="0" fillId="0" borderId="0" xfId="0" applyNumberFormat="1" applyAlignment="1">
      <alignment horizontal="center" vertical="center"/>
    </xf>
    <xf numFmtId="0" fontId="0" fillId="0" borderId="0" xfId="0" applyAlignment="1">
      <alignment horizontal="left"/>
    </xf>
    <xf numFmtId="0" fontId="0" fillId="46" borderId="10" xfId="0" applyFont="1" applyFill="1" applyBorder="1"/>
    <xf numFmtId="0" fontId="16" fillId="0" borderId="0" xfId="0" applyFont="1"/>
    <xf numFmtId="0" fontId="23" fillId="0" borderId="0" xfId="0" applyFont="1"/>
    <xf numFmtId="0" fontId="16" fillId="33" borderId="0" xfId="0" applyFont="1" applyFill="1"/>
    <xf numFmtId="1" fontId="0" fillId="0" borderId="0" xfId="0" applyNumberFormat="1" applyAlignment="1" applyProtection="1">
      <alignment horizontal="center" vertical="center"/>
      <protection hidden="1"/>
    </xf>
    <xf numFmtId="0" fontId="0" fillId="43" borderId="0" xfId="0" applyFill="1" applyAlignment="1" applyProtection="1">
      <alignment wrapText="1"/>
    </xf>
    <xf numFmtId="0" fontId="16" fillId="33" borderId="0" xfId="0" applyFont="1" applyFill="1" applyAlignment="1" applyProtection="1">
      <alignment wrapText="1"/>
    </xf>
    <xf numFmtId="0" fontId="16" fillId="36" borderId="0" xfId="0" applyFont="1" applyFill="1" applyAlignment="1" applyProtection="1">
      <alignment wrapText="1"/>
    </xf>
    <xf numFmtId="0" fontId="0" fillId="37" borderId="0" xfId="0" applyFill="1" applyAlignment="1" applyProtection="1">
      <alignment wrapText="1"/>
    </xf>
    <xf numFmtId="0" fontId="16" fillId="34" borderId="0" xfId="0" applyFont="1" applyFill="1" applyAlignment="1" applyProtection="1">
      <alignment horizontal="left"/>
    </xf>
    <xf numFmtId="0" fontId="16" fillId="45" borderId="0" xfId="0" applyFont="1" applyFill="1" applyAlignment="1" applyProtection="1">
      <alignment wrapText="1"/>
    </xf>
    <xf numFmtId="0" fontId="20" fillId="38" borderId="0" xfId="0" applyFont="1" applyFill="1" applyAlignment="1" applyProtection="1">
      <alignment wrapText="1"/>
    </xf>
    <xf numFmtId="0" fontId="0" fillId="39" borderId="0" xfId="0" applyFill="1" applyAlignment="1" applyProtection="1">
      <alignment wrapText="1"/>
    </xf>
    <xf numFmtId="1" fontId="0" fillId="33" borderId="0" xfId="0" applyNumberFormat="1" applyFill="1" applyAlignment="1" applyProtection="1">
      <alignment horizontal="center" vertical="center" wrapText="1"/>
    </xf>
    <xf numFmtId="0" fontId="0" fillId="0" borderId="0" xfId="0" applyAlignment="1">
      <alignment wrapText="1"/>
    </xf>
    <xf numFmtId="0" fontId="0" fillId="0" borderId="0" xfId="0" applyFill="1" applyBorder="1"/>
    <xf numFmtId="0" fontId="0" fillId="0" borderId="0" xfId="0" applyFont="1" applyFill="1" applyBorder="1"/>
    <xf numFmtId="1" fontId="0" fillId="0" borderId="0" xfId="0" applyNumberFormat="1" applyFont="1" applyFill="1" applyBorder="1"/>
    <xf numFmtId="0" fontId="0" fillId="0" borderId="0" xfId="0" applyFont="1" applyFill="1" applyBorder="1" applyAlignment="1">
      <alignment horizontal="left"/>
    </xf>
    <xf numFmtId="1" fontId="0" fillId="0" borderId="0" xfId="0" applyNumberFormat="1" applyFont="1" applyFill="1" applyBorder="1" applyAlignment="1">
      <alignment horizontal="center" vertical="center"/>
    </xf>
    <xf numFmtId="0" fontId="19" fillId="0" borderId="0" xfId="42" applyFont="1" applyFill="1" applyBorder="1"/>
    <xf numFmtId="0" fontId="0" fillId="0" borderId="0" xfId="0" applyBorder="1"/>
    <xf numFmtId="0" fontId="0" fillId="0" borderId="0" xfId="0" applyProtection="1">
      <protection hidden="1"/>
    </xf>
    <xf numFmtId="0" fontId="0" fillId="33" borderId="10" xfId="0" applyFont="1" applyFill="1" applyBorder="1"/>
    <xf numFmtId="0" fontId="0" fillId="0" borderId="0" xfId="0" applyNumberFormat="1" applyProtection="1">
      <protection hidden="1"/>
    </xf>
    <xf numFmtId="0" fontId="0" fillId="0" borderId="10" xfId="0" applyFont="1" applyBorder="1"/>
    <xf numFmtId="0" fontId="0" fillId="0" borderId="0" xfId="0" applyFill="1" applyAlignment="1">
      <alignment horizontal="left"/>
    </xf>
    <xf numFmtId="0" fontId="0" fillId="0" borderId="0" xfId="0" applyFill="1" applyProtection="1"/>
    <xf numFmtId="0" fontId="0" fillId="49" borderId="11" xfId="0" applyFill="1" applyBorder="1"/>
    <xf numFmtId="0" fontId="0" fillId="50" borderId="13" xfId="0" applyFill="1" applyBorder="1"/>
    <xf numFmtId="0" fontId="0" fillId="0" borderId="12" xfId="0" applyBorder="1"/>
    <xf numFmtId="0" fontId="24" fillId="0" borderId="0" xfId="0" applyFont="1"/>
    <xf numFmtId="0" fontId="0" fillId="49" borderId="11" xfId="0" applyFill="1" applyBorder="1" applyAlignment="1">
      <alignment horizontal="left"/>
    </xf>
    <xf numFmtId="0" fontId="0" fillId="51" borderId="0" xfId="0" applyFill="1"/>
    <xf numFmtId="164" fontId="0" fillId="49" borderId="11" xfId="0" applyNumberFormat="1" applyFill="1" applyBorder="1"/>
    <xf numFmtId="164" fontId="0" fillId="0" borderId="0" xfId="0" applyNumberFormat="1"/>
    <xf numFmtId="0" fontId="25" fillId="51" borderId="0" xfId="0" applyFont="1" applyFill="1"/>
    <xf numFmtId="0" fontId="19" fillId="0" borderId="0" xfId="42" applyAlignment="1" applyProtection="1">
      <alignment horizontal="center"/>
      <protection hidden="1"/>
    </xf>
    <xf numFmtId="0" fontId="0" fillId="0" borderId="0" xfId="0" applyAlignment="1">
      <alignment horizontal="center"/>
    </xf>
    <xf numFmtId="0" fontId="0" fillId="0" borderId="0" xfId="0" applyAlignment="1" applyProtection="1">
      <alignment horizontal="center"/>
    </xf>
    <xf numFmtId="0" fontId="0" fillId="33" borderId="0" xfId="0" applyFill="1" applyAlignment="1" applyProtection="1">
      <alignment horizontal="center" wrapText="1"/>
      <protection hidden="1"/>
    </xf>
    <xf numFmtId="0" fontId="0" fillId="0" borderId="0" xfId="0" applyAlignment="1" applyProtection="1">
      <alignment horizontal="center"/>
      <protection hidden="1"/>
    </xf>
    <xf numFmtId="0" fontId="19" fillId="0" borderId="0" xfId="42" applyAlignment="1">
      <alignment horizontal="center"/>
    </xf>
    <xf numFmtId="164" fontId="0" fillId="0" borderId="0" xfId="0" applyNumberFormat="1" applyAlignment="1">
      <alignment horizontal="center"/>
    </xf>
    <xf numFmtId="164" fontId="0" fillId="48" borderId="0" xfId="0" applyNumberFormat="1" applyFill="1" applyAlignment="1" applyProtection="1">
      <alignment horizontal="center" vertical="center" wrapText="1"/>
    </xf>
    <xf numFmtId="0" fontId="0" fillId="47" borderId="0" xfId="0" applyFill="1" applyAlignment="1" applyProtection="1">
      <alignment horizontal="center" vertical="center"/>
    </xf>
    <xf numFmtId="0" fontId="0" fillId="52" borderId="12" xfId="0" applyFill="1" applyBorder="1"/>
    <xf numFmtId="165" fontId="0" fillId="0" borderId="0" xfId="0" applyNumberFormat="1"/>
    <xf numFmtId="165" fontId="0" fillId="0" borderId="0" xfId="0" applyNumberFormat="1" applyFill="1"/>
    <xf numFmtId="165" fontId="19" fillId="0" borderId="0" xfId="42" applyNumberFormat="1" applyFill="1"/>
    <xf numFmtId="0" fontId="28" fillId="0" borderId="0" xfId="0" applyFont="1"/>
    <xf numFmtId="0" fontId="27" fillId="0" borderId="0" xfId="42" applyFont="1"/>
    <xf numFmtId="0" fontId="26" fillId="0" borderId="0" xfId="0" applyFont="1"/>
    <xf numFmtId="0" fontId="0" fillId="0" borderId="0" xfId="0" applyFont="1"/>
    <xf numFmtId="0" fontId="0" fillId="0" borderId="0" xfId="0" applyFill="1" applyAlignment="1">
      <alignment horizontal="center"/>
    </xf>
    <xf numFmtId="0" fontId="19" fillId="0" borderId="0" xfId="42" applyAlignment="1">
      <alignment horizontal="left"/>
    </xf>
    <xf numFmtId="0" fontId="14" fillId="0" borderId="0" xfId="0" applyFont="1"/>
    <xf numFmtId="0" fontId="0" fillId="53" borderId="0" xfId="0" applyFill="1" applyProtection="1"/>
    <xf numFmtId="0" fontId="0" fillId="49" borderId="14" xfId="0" applyFill="1" applyBorder="1"/>
    <xf numFmtId="0" fontId="33" fillId="0" borderId="0" xfId="0" applyFont="1" applyProtection="1"/>
    <xf numFmtId="1" fontId="26" fillId="0" borderId="0" xfId="0" applyNumberFormat="1" applyFont="1" applyAlignment="1">
      <alignment horizontal="right"/>
    </xf>
    <xf numFmtId="1" fontId="26" fillId="44" borderId="0" xfId="0" applyNumberFormat="1" applyFont="1" applyFill="1" applyAlignment="1" applyProtection="1">
      <alignment horizontal="right" wrapText="1"/>
    </xf>
    <xf numFmtId="1" fontId="29" fillId="0" borderId="0" xfId="0" applyNumberFormat="1" applyFont="1" applyAlignment="1">
      <alignment horizontal="right"/>
    </xf>
    <xf numFmtId="1" fontId="0" fillId="0" borderId="0" xfId="0" applyNumberFormat="1" applyAlignment="1">
      <alignment horizontal="right"/>
    </xf>
    <xf numFmtId="1" fontId="30" fillId="0" borderId="0" xfId="0" applyNumberFormat="1" applyFont="1" applyAlignment="1">
      <alignment horizontal="right"/>
    </xf>
    <xf numFmtId="1" fontId="32" fillId="0" borderId="0" xfId="0" applyNumberFormat="1" applyFont="1" applyAlignment="1">
      <alignment horizontal="right"/>
    </xf>
    <xf numFmtId="1" fontId="26" fillId="0" borderId="0" xfId="0" applyNumberFormat="1" applyFont="1" applyFill="1" applyAlignment="1">
      <alignment horizontal="right"/>
    </xf>
    <xf numFmtId="0" fontId="0" fillId="0" borderId="0" xfId="0" applyAlignment="1">
      <alignment horizontal="right" wrapText="1"/>
    </xf>
    <xf numFmtId="0" fontId="17" fillId="0" borderId="0" xfId="0" applyFont="1"/>
    <xf numFmtId="0" fontId="0" fillId="39" borderId="0" xfId="0" applyFill="1"/>
    <xf numFmtId="0" fontId="16" fillId="39" borderId="0" xfId="0" applyFont="1" applyFill="1"/>
    <xf numFmtId="0" fontId="0" fillId="40" borderId="0" xfId="0" applyFill="1"/>
    <xf numFmtId="0" fontId="0" fillId="54" borderId="0" xfId="0" applyFill="1"/>
    <xf numFmtId="0" fontId="0" fillId="50" borderId="0" xfId="0" applyFill="1"/>
    <xf numFmtId="166" fontId="0" fillId="0" borderId="0" xfId="0" applyNumberFormat="1" applyAlignment="1">
      <alignment horizontal="center"/>
    </xf>
    <xf numFmtId="1" fontId="31" fillId="0" borderId="0" xfId="0" applyNumberFormat="1" applyFont="1" applyAlignment="1">
      <alignment horizontal="left"/>
    </xf>
    <xf numFmtId="0" fontId="0" fillId="51" borderId="0" xfId="0"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4">
    <dxf>
      <fill>
        <patternFill>
          <bgColor theme="4" tint="0.39994506668294322"/>
        </patternFill>
      </fill>
    </dxf>
    <dxf>
      <protection locked="1" hidden="1"/>
    </dxf>
    <dxf>
      <numFmt numFmtId="0" formatCode="General"/>
      <protection locked="1" hidden="1"/>
    </dxf>
    <dxf>
      <numFmt numFmtId="0" formatCode="General"/>
      <protection locked="1" hidden="1"/>
    </dxf>
    <dxf>
      <numFmt numFmtId="0" formatCode="General"/>
      <protection locked="1" hidden="1"/>
    </dxf>
    <dxf>
      <protection locked="1" hidden="1"/>
    </dxf>
    <dxf>
      <protection locked="1" hidden="1"/>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numFmt numFmtId="164" formatCode="&quot;£&quot;#,##0.00"/>
      <alignment horizontal="center" textRotation="0" indent="0" justifyLastLine="0" shrinkToFit="0" readingOrder="0"/>
    </dxf>
    <dxf>
      <numFmt numFmtId="166" formatCode="0.0"/>
      <alignment horizontal="center" textRotation="0" wrapText="0" indent="0" justifyLastLine="0" shrinkToFit="0" readingOrder="0"/>
    </dxf>
    <dxf>
      <alignment horizontal="center" vertical="bottom" textRotation="0" indent="0" justifyLastLine="0" shrinkToFit="0" readingOrder="0"/>
    </dxf>
    <dxf>
      <numFmt numFmtId="1" formatCode="0"/>
      <alignment horizontal="center" vertical="center" textRotation="0" wrapText="0" indent="0" justifyLastLine="0" shrinkToFit="0" readingOrder="0"/>
      <protection locked="1" hidden="1"/>
    </dxf>
    <dxf>
      <alignment horizontal="left" vertical="bottom" textRotation="0" wrapText="0" indent="0" justifyLastLine="0" shrinkToFit="0" readingOrder="0"/>
    </dxf>
    <dxf>
      <numFmt numFmtId="1" formatCode="0"/>
    </dxf>
    <dxf>
      <font>
        <b val="0"/>
        <strike val="0"/>
        <outline val="0"/>
        <shadow val="0"/>
        <u val="none"/>
        <vertAlign val="baseline"/>
        <sz val="11"/>
        <color auto="1"/>
      </font>
      <numFmt numFmtId="1" formatCode="0"/>
      <alignment horizontal="right" vertical="bottom" textRotation="0" wrapText="0" indent="0" justifyLastLine="0" shrinkToFit="0" readingOrder="0"/>
    </dxf>
    <dxf>
      <protection locked="1" hidden="0"/>
    </dxf>
    <dxf>
      <protection locked="1" hidden="0"/>
    </dxf>
  </dxfs>
  <tableStyles count="3" defaultTableStyle="TableStyleMedium2" defaultPivotStyle="PivotStyleLight16">
    <tableStyle name="Table Style 1" pivot="0" count="0" xr9:uid="{D2212E8C-5083-458F-BE6F-A55ABE41E9C3}"/>
    <tableStyle name="Table Style 2" pivot="0" count="0" xr9:uid="{A7039D48-2BF8-4124-8BEC-6622775F32DD}"/>
    <tableStyle name="Table Style 3" pivot="0" count="0" xr9:uid="{FAF1BABA-08FB-4FC8-8D2F-3F000415485E}"/>
  </tableStyles>
  <colors>
    <mruColors>
      <color rgb="FFDCFA28"/>
      <color rgb="FF0099FF"/>
      <color rgb="FF253CE7"/>
      <color rgb="FFD1BB15"/>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13" Type="http://schemas.openxmlformats.org/officeDocument/2006/relationships/hyperlink" Target="http://www.sapphireav.com/Trolleys-and-Carts_c_1.html" TargetMode="External"/><Relationship Id="rId18" Type="http://schemas.openxmlformats.org/officeDocument/2006/relationships/image" Target="../media/image10.jpg"/><Relationship Id="rId3" Type="http://schemas.openxmlformats.org/officeDocument/2006/relationships/image" Target="../media/image2.jpg"/><Relationship Id="rId21" Type="http://schemas.openxmlformats.org/officeDocument/2006/relationships/image" Target="../media/image11.jpg"/><Relationship Id="rId7" Type="http://schemas.openxmlformats.org/officeDocument/2006/relationships/hyperlink" Target="https://www.youtube.com/watch?v=NRLI0H00AgM&amp;feature=youtu.be" TargetMode="External"/><Relationship Id="rId12" Type="http://schemas.openxmlformats.org/officeDocument/2006/relationships/image" Target="../media/image7.jpeg"/><Relationship Id="rId17" Type="http://schemas.openxmlformats.org/officeDocument/2006/relationships/hyperlink" Target="http://www.sapphireav.com/Projector-and-AV-Mounts_c_15.html" TargetMode="External"/><Relationship Id="rId2" Type="http://schemas.openxmlformats.org/officeDocument/2006/relationships/image" Target="../media/image1.png"/><Relationship Id="rId16" Type="http://schemas.openxmlformats.org/officeDocument/2006/relationships/image" Target="../media/image9.jpeg"/><Relationship Id="rId20" Type="http://schemas.openxmlformats.org/officeDocument/2006/relationships/hyperlink" Target="#'Short Throw Projectors'!A1"/><Relationship Id="rId1" Type="http://schemas.openxmlformats.org/officeDocument/2006/relationships/hyperlink" Target="http://www.sapphireav.com/Projector-screens.html" TargetMode="External"/><Relationship Id="rId6" Type="http://schemas.openxmlformats.org/officeDocument/2006/relationships/image" Target="../media/image4.jpeg"/><Relationship Id="rId11" Type="http://schemas.openxmlformats.org/officeDocument/2006/relationships/hyperlink" Target="https://www.steljesaudio.co.uk/docs/about/product-lineup.shtml" TargetMode="External"/><Relationship Id="rId5" Type="http://schemas.openxmlformats.org/officeDocument/2006/relationships/hyperlink" Target="http://www.sapphireav.com/Sapphire-IP-Control-Box_p_660.html" TargetMode="External"/><Relationship Id="rId15" Type="http://schemas.openxmlformats.org/officeDocument/2006/relationships/hyperlink" Target="http://www.sapphireav.com/Projector-Lifts_c_103.html" TargetMode="External"/><Relationship Id="rId10" Type="http://schemas.openxmlformats.org/officeDocument/2006/relationships/image" Target="../media/image6.jpeg"/><Relationship Id="rId19" Type="http://schemas.openxmlformats.org/officeDocument/2006/relationships/hyperlink" Target="http://www.sapphireav.com" TargetMode="External"/><Relationship Id="rId4" Type="http://schemas.openxmlformats.org/officeDocument/2006/relationships/image" Target="../media/image3.jpeg"/><Relationship Id="rId9" Type="http://schemas.openxmlformats.org/officeDocument/2006/relationships/hyperlink" Target="http://conxeasy.com/docs/about/product-lineup.shtml" TargetMode="External"/><Relationship Id="rId14"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2.jpg"/></Relationships>
</file>

<file path=xl/drawings/drawing1.xml><?xml version="1.0" encoding="utf-8"?>
<xdr:wsDr xmlns:xdr="http://schemas.openxmlformats.org/drawingml/2006/spreadsheetDrawing" xmlns:a="http://schemas.openxmlformats.org/drawingml/2006/main">
  <xdr:twoCellAnchor editAs="oneCell">
    <xdr:from>
      <xdr:col>1</xdr:col>
      <xdr:colOff>109165</xdr:colOff>
      <xdr:row>1</xdr:row>
      <xdr:rowOff>95250</xdr:rowOff>
    </xdr:from>
    <xdr:to>
      <xdr:col>3</xdr:col>
      <xdr:colOff>97427</xdr:colOff>
      <xdr:row>2</xdr:row>
      <xdr:rowOff>444281</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9165" y="314216"/>
          <a:ext cx="2188865" cy="786962"/>
        </a:xfrm>
        <a:prstGeom prst="rect">
          <a:avLst/>
        </a:prstGeom>
      </xdr:spPr>
    </xdr:pic>
    <xdr:clientData/>
  </xdr:twoCellAnchor>
  <xdr:twoCellAnchor>
    <xdr:from>
      <xdr:col>3</xdr:col>
      <xdr:colOff>0</xdr:colOff>
      <xdr:row>1</xdr:row>
      <xdr:rowOff>152400</xdr:rowOff>
    </xdr:from>
    <xdr:to>
      <xdr:col>4</xdr:col>
      <xdr:colOff>76200</xdr:colOff>
      <xdr:row>2</xdr:row>
      <xdr:rowOff>619124</xdr:rowOff>
    </xdr:to>
    <xdr:sp macro="[0]!clearfilters" textlink="">
      <xdr:nvSpPr>
        <xdr:cNvPr id="6" name="Rounded Rectangle 5">
          <a:extLst>
            <a:ext uri="{FF2B5EF4-FFF2-40B4-BE49-F238E27FC236}">
              <a16:creationId xmlns:a16="http://schemas.microsoft.com/office/drawing/2014/main" id="{00000000-0008-0000-0000-000006000000}"/>
            </a:ext>
          </a:extLst>
        </xdr:cNvPr>
        <xdr:cNvSpPr/>
      </xdr:nvSpPr>
      <xdr:spPr>
        <a:xfrm>
          <a:off x="2190750" y="152400"/>
          <a:ext cx="1181100" cy="685799"/>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en-GB" sz="1100"/>
            <a:t>Click here</a:t>
          </a:r>
          <a:r>
            <a:rPr lang="en-GB" sz="1100" baseline="0"/>
            <a:t> to c</a:t>
          </a:r>
          <a:r>
            <a:rPr lang="en-GB" sz="1100"/>
            <a:t>lear filters after use</a:t>
          </a:r>
        </a:p>
      </xdr:txBody>
    </xdr:sp>
    <xdr:clientData/>
  </xdr:twoCellAnchor>
  <xdr:twoCellAnchor>
    <xdr:from>
      <xdr:col>10</xdr:col>
      <xdr:colOff>2148417</xdr:colOff>
      <xdr:row>2</xdr:row>
      <xdr:rowOff>66675</xdr:rowOff>
    </xdr:from>
    <xdr:to>
      <xdr:col>12</xdr:col>
      <xdr:colOff>142327</xdr:colOff>
      <xdr:row>3</xdr:row>
      <xdr:rowOff>38100</xdr:rowOff>
    </xdr:to>
    <xdr:sp macro="[0]!Stockrefresh" textlink="">
      <xdr:nvSpPr>
        <xdr:cNvPr id="2" name="Speech Bubble: Rectangle with Corners Rounded 1">
          <a:extLst>
            <a:ext uri="{FF2B5EF4-FFF2-40B4-BE49-F238E27FC236}">
              <a16:creationId xmlns:a16="http://schemas.microsoft.com/office/drawing/2014/main" id="{7380F572-33D6-476F-A8E4-6FECD49A73C6}"/>
            </a:ext>
          </a:extLst>
        </xdr:cNvPr>
        <xdr:cNvSpPr/>
      </xdr:nvSpPr>
      <xdr:spPr>
        <a:xfrm>
          <a:off x="11652250" y="722842"/>
          <a:ext cx="1073660" cy="627591"/>
        </a:xfrm>
        <a:prstGeom prst="wedgeRoundRectCallou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en-GB" sz="1100"/>
            <a:t>Click here to refresh Stock</a:t>
          </a:r>
        </a:p>
      </xdr:txBody>
    </xdr:sp>
    <xdr:clientData/>
  </xdr:twoCellAnchor>
  <xdr:twoCellAnchor>
    <xdr:from>
      <xdr:col>11</xdr:col>
      <xdr:colOff>224550</xdr:colOff>
      <xdr:row>0</xdr:row>
      <xdr:rowOff>0</xdr:rowOff>
    </xdr:from>
    <xdr:to>
      <xdr:col>11</xdr:col>
      <xdr:colOff>529350</xdr:colOff>
      <xdr:row>2</xdr:row>
      <xdr:rowOff>38319</xdr:rowOff>
    </xdr:to>
    <xdr:sp macro="" textlink="">
      <xdr:nvSpPr>
        <xdr:cNvPr id="4" name="Arrow: Down 3">
          <a:extLst>
            <a:ext uri="{FF2B5EF4-FFF2-40B4-BE49-F238E27FC236}">
              <a16:creationId xmlns:a16="http://schemas.microsoft.com/office/drawing/2014/main" id="{DAF6E84D-34AD-46F5-B599-080C16C75709}"/>
            </a:ext>
          </a:extLst>
        </xdr:cNvPr>
        <xdr:cNvSpPr/>
      </xdr:nvSpPr>
      <xdr:spPr>
        <a:xfrm>
          <a:off x="11753084" y="0"/>
          <a:ext cx="304800" cy="476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4</xdr:col>
      <xdr:colOff>400050</xdr:colOff>
      <xdr:row>2</xdr:row>
      <xdr:rowOff>9525</xdr:rowOff>
    </xdr:from>
    <xdr:to>
      <xdr:col>9</xdr:col>
      <xdr:colOff>346732</xdr:colOff>
      <xdr:row>2</xdr:row>
      <xdr:rowOff>530225</xdr:rowOff>
    </xdr:to>
    <xdr:pic>
      <xdr:nvPicPr>
        <xdr:cNvPr id="10" name="Picture 9">
          <a:extLst>
            <a:ext uri="{FF2B5EF4-FFF2-40B4-BE49-F238E27FC236}">
              <a16:creationId xmlns:a16="http://schemas.microsoft.com/office/drawing/2014/main" id="{8F1E66D6-EA72-4740-BE9A-72C31CF8377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67175" y="447675"/>
          <a:ext cx="5384800" cy="520700"/>
        </a:xfrm>
        <a:prstGeom prst="rect">
          <a:avLst/>
        </a:prstGeom>
      </xdr:spPr>
    </xdr:pic>
    <xdr:clientData/>
  </xdr:twoCellAnchor>
  <xdr:twoCellAnchor editAs="oneCell">
    <xdr:from>
      <xdr:col>9</xdr:col>
      <xdr:colOff>706272</xdr:colOff>
      <xdr:row>0</xdr:row>
      <xdr:rowOff>142328</xdr:rowOff>
    </xdr:from>
    <xdr:to>
      <xdr:col>10</xdr:col>
      <xdr:colOff>1772443</xdr:colOff>
      <xdr:row>3</xdr:row>
      <xdr:rowOff>54191</xdr:rowOff>
    </xdr:to>
    <xdr:pic>
      <xdr:nvPicPr>
        <xdr:cNvPr id="12" name="Picture 11">
          <a:extLst>
            <a:ext uri="{FF2B5EF4-FFF2-40B4-BE49-F238E27FC236}">
              <a16:creationId xmlns:a16="http://schemas.microsoft.com/office/drawing/2014/main" id="{8B3BF4B3-EF67-4E8A-B868-C7BD0FC794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432048" y="142328"/>
          <a:ext cx="1837659" cy="1225656"/>
        </a:xfrm>
        <a:prstGeom prst="rect">
          <a:avLst/>
        </a:prstGeom>
      </xdr:spPr>
    </xdr:pic>
    <xdr:clientData/>
  </xdr:twoCellAnchor>
  <xdr:twoCellAnchor editAs="absolute">
    <xdr:from>
      <xdr:col>15</xdr:col>
      <xdr:colOff>148494</xdr:colOff>
      <xdr:row>14</xdr:row>
      <xdr:rowOff>0</xdr:rowOff>
    </xdr:from>
    <xdr:to>
      <xdr:col>16</xdr:col>
      <xdr:colOff>887993</xdr:colOff>
      <xdr:row>25</xdr:row>
      <xdr:rowOff>186121</xdr:rowOff>
    </xdr:to>
    <xdr:pic>
      <xdr:nvPicPr>
        <xdr:cNvPr id="7" name="Picture 6">
          <a:hlinkClick xmlns:r="http://schemas.openxmlformats.org/officeDocument/2006/relationships" r:id="rId5"/>
          <a:extLst>
            <a:ext uri="{FF2B5EF4-FFF2-40B4-BE49-F238E27FC236}">
              <a16:creationId xmlns:a16="http://schemas.microsoft.com/office/drawing/2014/main" id="{ED5245CD-1688-4F70-8D2D-83874AA0C74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283025" y="4368364"/>
          <a:ext cx="1965707" cy="2594740"/>
        </a:xfrm>
        <a:prstGeom prst="rect">
          <a:avLst/>
        </a:prstGeom>
      </xdr:spPr>
    </xdr:pic>
    <xdr:clientData/>
  </xdr:twoCellAnchor>
  <xdr:twoCellAnchor editAs="oneCell">
    <xdr:from>
      <xdr:col>12</xdr:col>
      <xdr:colOff>186702</xdr:colOff>
      <xdr:row>0</xdr:row>
      <xdr:rowOff>162383</xdr:rowOff>
    </xdr:from>
    <xdr:to>
      <xdr:col>13</xdr:col>
      <xdr:colOff>580259</xdr:colOff>
      <xdr:row>2</xdr:row>
      <xdr:rowOff>503620</xdr:rowOff>
    </xdr:to>
    <xdr:pic>
      <xdr:nvPicPr>
        <xdr:cNvPr id="13" name="Picture 12">
          <a:hlinkClick xmlns:r="http://schemas.openxmlformats.org/officeDocument/2006/relationships" r:id="rId7"/>
          <a:extLst>
            <a:ext uri="{FF2B5EF4-FFF2-40B4-BE49-F238E27FC236}">
              <a16:creationId xmlns:a16="http://schemas.microsoft.com/office/drawing/2014/main" id="{50277BA3-3F25-4839-A4D0-A49E5AE2F01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2558254" y="162383"/>
          <a:ext cx="1663557" cy="998134"/>
        </a:xfrm>
        <a:prstGeom prst="rect">
          <a:avLst/>
        </a:prstGeom>
      </xdr:spPr>
    </xdr:pic>
    <xdr:clientData/>
  </xdr:twoCellAnchor>
  <xdr:twoCellAnchor>
    <xdr:from>
      <xdr:col>15</xdr:col>
      <xdr:colOff>21897</xdr:colOff>
      <xdr:row>4</xdr:row>
      <xdr:rowOff>21896</xdr:rowOff>
    </xdr:from>
    <xdr:to>
      <xdr:col>16</xdr:col>
      <xdr:colOff>197069</xdr:colOff>
      <xdr:row>5</xdr:row>
      <xdr:rowOff>65690</xdr:rowOff>
    </xdr:to>
    <xdr:sp macro="[0]!quote" textlink="">
      <xdr:nvSpPr>
        <xdr:cNvPr id="5" name="Callout: Down Arrow 4">
          <a:extLst>
            <a:ext uri="{FF2B5EF4-FFF2-40B4-BE49-F238E27FC236}">
              <a16:creationId xmlns:a16="http://schemas.microsoft.com/office/drawing/2014/main" id="{8372D6E6-912D-4655-9EA8-2009372392ED}"/>
            </a:ext>
          </a:extLst>
        </xdr:cNvPr>
        <xdr:cNvSpPr/>
      </xdr:nvSpPr>
      <xdr:spPr>
        <a:xfrm>
          <a:off x="14955345" y="1357586"/>
          <a:ext cx="1401379" cy="886811"/>
        </a:xfrm>
        <a:prstGeom prst="downArrow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b="1">
              <a:solidFill>
                <a:schemeClr val="tx1"/>
              </a:solidFill>
            </a:rPr>
            <a:t>Click Here to Quote and Cross Sales</a:t>
          </a:r>
        </a:p>
        <a:p>
          <a:pPr algn="l"/>
          <a:endParaRPr lang="en-GB" sz="1000" b="1">
            <a:solidFill>
              <a:schemeClr val="tx1"/>
            </a:solidFill>
            <a:latin typeface="+mn-lt"/>
            <a:ea typeface="+mn-ea"/>
            <a:cs typeface="+mn-cs"/>
          </a:endParaRPr>
        </a:p>
      </xdr:txBody>
    </xdr:sp>
    <xdr:clientData/>
  </xdr:twoCellAnchor>
  <xdr:twoCellAnchor editAs="oneCell">
    <xdr:from>
      <xdr:col>16</xdr:col>
      <xdr:colOff>228709</xdr:colOff>
      <xdr:row>0</xdr:row>
      <xdr:rowOff>175172</xdr:rowOff>
    </xdr:from>
    <xdr:to>
      <xdr:col>17</xdr:col>
      <xdr:colOff>1073007</xdr:colOff>
      <xdr:row>1</xdr:row>
      <xdr:rowOff>385239</xdr:rowOff>
    </xdr:to>
    <xdr:pic>
      <xdr:nvPicPr>
        <xdr:cNvPr id="14" name="Picture 13">
          <a:hlinkClick xmlns:r="http://schemas.openxmlformats.org/officeDocument/2006/relationships" r:id="rId9"/>
          <a:extLst>
            <a:ext uri="{FF2B5EF4-FFF2-40B4-BE49-F238E27FC236}">
              <a16:creationId xmlns:a16="http://schemas.microsoft.com/office/drawing/2014/main" id="{222FD858-8B33-4148-B53E-7FD0263410C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6388364" y="175172"/>
          <a:ext cx="1939125" cy="429033"/>
        </a:xfrm>
        <a:prstGeom prst="rect">
          <a:avLst/>
        </a:prstGeom>
      </xdr:spPr>
    </xdr:pic>
    <xdr:clientData/>
  </xdr:twoCellAnchor>
  <xdr:twoCellAnchor editAs="oneCell">
    <xdr:from>
      <xdr:col>16</xdr:col>
      <xdr:colOff>361295</xdr:colOff>
      <xdr:row>2</xdr:row>
      <xdr:rowOff>176698</xdr:rowOff>
    </xdr:from>
    <xdr:to>
      <xdr:col>17</xdr:col>
      <xdr:colOff>843020</xdr:colOff>
      <xdr:row>2</xdr:row>
      <xdr:rowOff>634998</xdr:rowOff>
    </xdr:to>
    <xdr:pic>
      <xdr:nvPicPr>
        <xdr:cNvPr id="16" name="Picture 15">
          <a:hlinkClick xmlns:r="http://schemas.openxmlformats.org/officeDocument/2006/relationships" r:id="rId11"/>
          <a:extLst>
            <a:ext uri="{FF2B5EF4-FFF2-40B4-BE49-F238E27FC236}">
              <a16:creationId xmlns:a16="http://schemas.microsoft.com/office/drawing/2014/main" id="{F2C21E8D-FD9F-4792-AC1A-49952504A0D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6520950" y="833595"/>
          <a:ext cx="1576552" cy="458300"/>
        </a:xfrm>
        <a:prstGeom prst="rect">
          <a:avLst/>
        </a:prstGeom>
      </xdr:spPr>
    </xdr:pic>
    <xdr:clientData/>
  </xdr:twoCellAnchor>
  <xdr:twoCellAnchor editAs="absolute">
    <xdr:from>
      <xdr:col>14</xdr:col>
      <xdr:colOff>656604</xdr:colOff>
      <xdr:row>26</xdr:row>
      <xdr:rowOff>54742</xdr:rowOff>
    </xdr:from>
    <xdr:to>
      <xdr:col>17</xdr:col>
      <xdr:colOff>699301</xdr:colOff>
      <xdr:row>40</xdr:row>
      <xdr:rowOff>113950</xdr:rowOff>
    </xdr:to>
    <xdr:pic>
      <xdr:nvPicPr>
        <xdr:cNvPr id="18" name="Picture 17">
          <a:hlinkClick xmlns:r="http://schemas.openxmlformats.org/officeDocument/2006/relationships" r:id="rId13"/>
          <a:extLst>
            <a:ext uri="{FF2B5EF4-FFF2-40B4-BE49-F238E27FC236}">
              <a16:creationId xmlns:a16="http://schemas.microsoft.com/office/drawing/2014/main" id="{AE6A19D5-4107-4A4E-81C3-E8C46FE4125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5092635" y="7050690"/>
          <a:ext cx="3062232" cy="3124726"/>
        </a:xfrm>
        <a:prstGeom prst="rect">
          <a:avLst/>
        </a:prstGeom>
      </xdr:spPr>
    </xdr:pic>
    <xdr:clientData/>
  </xdr:twoCellAnchor>
  <xdr:twoCellAnchor editAs="absolute">
    <xdr:from>
      <xdr:col>15</xdr:col>
      <xdr:colOff>313486</xdr:colOff>
      <xdr:row>42</xdr:row>
      <xdr:rowOff>213930</xdr:rowOff>
    </xdr:from>
    <xdr:to>
      <xdr:col>17</xdr:col>
      <xdr:colOff>773313</xdr:colOff>
      <xdr:row>52</xdr:row>
      <xdr:rowOff>109922</xdr:rowOff>
    </xdr:to>
    <xdr:pic>
      <xdr:nvPicPr>
        <xdr:cNvPr id="20" name="Picture 19">
          <a:hlinkClick xmlns:r="http://schemas.openxmlformats.org/officeDocument/2006/relationships" r:id="rId15"/>
          <a:extLst>
            <a:ext uri="{FF2B5EF4-FFF2-40B4-BE49-F238E27FC236}">
              <a16:creationId xmlns:a16="http://schemas.microsoft.com/office/drawing/2014/main" id="{3B085AF3-3849-4EFF-A140-3DFE814974BA}"/>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448017" y="10713327"/>
          <a:ext cx="2780862" cy="2085647"/>
        </a:xfrm>
        <a:prstGeom prst="rect">
          <a:avLst/>
        </a:prstGeom>
      </xdr:spPr>
    </xdr:pic>
    <xdr:clientData/>
  </xdr:twoCellAnchor>
  <xdr:twoCellAnchor editAs="absolute">
    <xdr:from>
      <xdr:col>15</xdr:col>
      <xdr:colOff>433918</xdr:colOff>
      <xdr:row>56</xdr:row>
      <xdr:rowOff>98534</xdr:rowOff>
    </xdr:from>
    <xdr:to>
      <xdr:col>17</xdr:col>
      <xdr:colOff>870612</xdr:colOff>
      <xdr:row>80</xdr:row>
      <xdr:rowOff>106417</xdr:rowOff>
    </xdr:to>
    <xdr:pic>
      <xdr:nvPicPr>
        <xdr:cNvPr id="22" name="Picture 21">
          <a:hlinkClick xmlns:r="http://schemas.openxmlformats.org/officeDocument/2006/relationships" r:id="rId17"/>
          <a:extLst>
            <a:ext uri="{FF2B5EF4-FFF2-40B4-BE49-F238E27FC236}">
              <a16:creationId xmlns:a16="http://schemas.microsoft.com/office/drawing/2014/main" id="{4BE94E1D-7ECE-4A34-A477-857D45DE8803}"/>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5568449" y="13663448"/>
          <a:ext cx="2757729" cy="5263055"/>
        </a:xfrm>
        <a:prstGeom prst="rect">
          <a:avLst/>
        </a:prstGeom>
      </xdr:spPr>
    </xdr:pic>
    <xdr:clientData/>
  </xdr:twoCellAnchor>
  <xdr:twoCellAnchor>
    <xdr:from>
      <xdr:col>13</xdr:col>
      <xdr:colOff>503620</xdr:colOff>
      <xdr:row>1</xdr:row>
      <xdr:rowOff>0</xdr:rowOff>
    </xdr:from>
    <xdr:to>
      <xdr:col>15</xdr:col>
      <xdr:colOff>514570</xdr:colOff>
      <xdr:row>2</xdr:row>
      <xdr:rowOff>624050</xdr:rowOff>
    </xdr:to>
    <xdr:sp macro="" textlink="">
      <xdr:nvSpPr>
        <xdr:cNvPr id="8" name="Rectangle: Rounded Corners 7">
          <a:hlinkClick xmlns:r="http://schemas.openxmlformats.org/officeDocument/2006/relationships" r:id="rId19"/>
          <a:extLst>
            <a:ext uri="{FF2B5EF4-FFF2-40B4-BE49-F238E27FC236}">
              <a16:creationId xmlns:a16="http://schemas.microsoft.com/office/drawing/2014/main" id="{A1C46342-DFB8-4414-9DF7-50CD7472BE89}"/>
            </a:ext>
          </a:extLst>
        </xdr:cNvPr>
        <xdr:cNvSpPr/>
      </xdr:nvSpPr>
      <xdr:spPr>
        <a:xfrm>
          <a:off x="14145172" y="218966"/>
          <a:ext cx="1302846" cy="1061981"/>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lang="en-GB" sz="1100" b="1"/>
            <a:t>Click</a:t>
          </a:r>
          <a:r>
            <a:rPr lang="en-GB" sz="1100" b="1" baseline="0"/>
            <a:t> Here to </a:t>
          </a:r>
          <a:r>
            <a:rPr lang="en-GB" sz="1100" b="1"/>
            <a:t> </a:t>
          </a:r>
          <a:r>
            <a:rPr lang="en-GB" sz="1100"/>
            <a:t>Dowload the</a:t>
          </a:r>
        </a:p>
        <a:p>
          <a:pPr algn="l"/>
          <a:r>
            <a:rPr lang="en-GB" sz="1100"/>
            <a:t>latest version from our website</a:t>
          </a:r>
        </a:p>
      </xdr:txBody>
    </xdr:sp>
    <xdr:clientData/>
  </xdr:twoCellAnchor>
  <xdr:twoCellAnchor editAs="oneCell">
    <xdr:from>
      <xdr:col>15</xdr:col>
      <xdr:colOff>76638</xdr:colOff>
      <xdr:row>5</xdr:row>
      <xdr:rowOff>131379</xdr:rowOff>
    </xdr:from>
    <xdr:to>
      <xdr:col>16</xdr:col>
      <xdr:colOff>339759</xdr:colOff>
      <xdr:row>13</xdr:row>
      <xdr:rowOff>4376</xdr:rowOff>
    </xdr:to>
    <xdr:pic>
      <xdr:nvPicPr>
        <xdr:cNvPr id="11" name="Picture 10">
          <a:hlinkClick xmlns:r="http://schemas.openxmlformats.org/officeDocument/2006/relationships" r:id="rId20"/>
          <a:extLst>
            <a:ext uri="{FF2B5EF4-FFF2-40B4-BE49-F238E27FC236}">
              <a16:creationId xmlns:a16="http://schemas.microsoft.com/office/drawing/2014/main" id="{026D11AF-241B-4898-BD78-966EA2360DF6}"/>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5010086" y="2529051"/>
          <a:ext cx="1489329" cy="1624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133350</xdr:rowOff>
    </xdr:from>
    <xdr:to>
      <xdr:col>3</xdr:col>
      <xdr:colOff>1661583</xdr:colOff>
      <xdr:row>3</xdr:row>
      <xdr:rowOff>47625</xdr:rowOff>
    </xdr:to>
    <xdr:pic>
      <xdr:nvPicPr>
        <xdr:cNvPr id="3" name="Picture 2">
          <a:extLst>
            <a:ext uri="{FF2B5EF4-FFF2-40B4-BE49-F238E27FC236}">
              <a16:creationId xmlns:a16="http://schemas.microsoft.com/office/drawing/2014/main" id="{C7D12FD9-F69E-410D-AFE8-4DAE015A3A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1600" y="133350"/>
          <a:ext cx="5233458"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299508</xdr:colOff>
      <xdr:row>3</xdr:row>
      <xdr:rowOff>133350</xdr:rowOff>
    </xdr:to>
    <xdr:pic>
      <xdr:nvPicPr>
        <xdr:cNvPr id="2" name="Picture 1">
          <a:extLst>
            <a:ext uri="{FF2B5EF4-FFF2-40B4-BE49-F238E27FC236}">
              <a16:creationId xmlns:a16="http://schemas.microsoft.com/office/drawing/2014/main" id="{AB0869A9-8EEC-4774-8525-D598EE8EC8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219075"/>
          <a:ext cx="5233458" cy="57150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1AC569B8-B036-4227-A9CF-6EED4BA39146}" autoFormatId="16" applyNumberFormats="0" applyBorderFormats="0" applyFontFormats="0" applyPatternFormats="0" applyAlignmentFormats="0" applyWidthHeightFormats="0">
  <queryTableRefresh nextId="5">
    <queryTableFields count="4">
      <queryTableField id="1" name="partno" tableColumnId="5"/>
      <queryTableField id="2" name=" category_name" tableColumnId="2"/>
      <queryTableField id="3" name=" product_name" tableColumnId="3"/>
      <queryTableField id="4" name=" Stock_Available" tableColumnId="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9CDE1C-75B4-4669-80BF-CC549459025A}" name="Table2" displayName="Table2" ref="C5:O260" totalsRowShown="0" headerRowDxfId="33">
  <autoFilter ref="C5:O260" xr:uid="{EE94B3B6-987F-4640-83EE-276CECF8E10B}"/>
  <tableColumns count="13">
    <tableColumn id="1" xr3:uid="{33C21677-E183-4F42-B208-4333F3A3F23A}" name="Your Screen _x000a_SKU to order" dataDxfId="32"/>
    <tableColumn id="2" xr3:uid="{C359380B-FD86-4EA9-A67A-069B75EC6F40}" name="EAN_x000a_Number" dataDxfId="31"/>
    <tableColumn id="3" xr3:uid="{DC0EF714-4B64-430E-92F8-7EE75DBBAEE7}" name="Start Filter Selection _x000a_HERE           =&gt;" dataDxfId="30"/>
    <tableColumn id="4" xr3:uid="{18A385F3-A8A4-48CE-A5EC-442676924173}" name="SubType _x000a_(If applicable)"/>
    <tableColumn id="5" xr3:uid="{178FDF61-8BD5-484E-9A5E-DD4BA9FC2958}" name="View Size_x000a_ width mm"/>
    <tableColumn id="6" xr3:uid="{B38DCEEB-2E0D-424E-A46B-F3614A88018C}" name="Format" dataDxfId="29"/>
    <tableColumn id="7" xr3:uid="{893E6616-878E-4CE7-8936-FE7185C79C2E}" name="Front/Rear_x000a_Fabric Type"/>
    <tableColumn id="8" xr3:uid="{CBFAD5DE-B716-48A1-9F1D-45CA1EF95DD9}" name="If Electric   _x000a_Type of _x000a_remote _x000a_included"/>
    <tableColumn id="9" xr3:uid="{4D3E9FEA-A099-4A0D-A0B2-58E35DFCDA7D}" name="Control System_x000a_RS232,Contacts,_x000a_12V Trigger"/>
    <tableColumn id="10" xr3:uid="{EC713FD9-21B7-4475-923A-B5D9C34ABEB5}" name="Live _x000a_Stock" dataDxfId="28"/>
    <tableColumn id="12" xr3:uid="{D598DB74-2DDD-4447-941D-E80C957DE234}" name="Product _x000a_Website link" dataDxfId="27"/>
    <tableColumn id="13" xr3:uid="{BB79B9BA-C679-4A1B-9986-D0A30151870B}" name="Weight" dataDxfId="26"/>
    <tableColumn id="14" xr3:uid="{554B43AE-F8C5-4286-A03B-11311A455A8D}" name="Carriage_x000a_Charge" dataDxfId="25"/>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286038C-5A7F-4C78-9B29-E7859BD05114}" name="Abilitystockfeeds" displayName="Abilitystockfeeds" ref="A1:D407" tableType="queryTable" totalsRowShown="0" headerRowDxfId="6" dataDxfId="5">
  <autoFilter ref="A1:D407" xr:uid="{8B221E11-1D6C-4424-8E6A-558CFE5EC3FB}"/>
  <tableColumns count="4">
    <tableColumn id="5" xr3:uid="{1DC2AFDE-2F58-4591-AE77-9136CB643430}" uniqueName="5" name="partno" queryTableFieldId="1" dataDxfId="4"/>
    <tableColumn id="2" xr3:uid="{A59DD82C-C6EC-4248-A170-6FE6FE186329}" uniqueName="2" name=" category_name" queryTableFieldId="2" dataDxfId="3"/>
    <tableColumn id="3" xr3:uid="{4723FC1E-1A5A-4E96-86CB-E250C2B04432}" uniqueName="3" name=" product_name" queryTableFieldId="3" dataDxfId="2"/>
    <tableColumn id="4" xr3:uid="{09A187E7-68BB-46D3-B1B4-57677AC22D68}" uniqueName="4" name=" Stock_Available" queryTableFieldId="4" dataDxfId="1"/>
  </tableColumns>
  <tableStyleInfo name="TableStyleMedium7" showFirstColumn="0" showLastColumn="0" showRowStripes="1" showColumnStripes="0"/>
</table>
</file>

<file path=xl/theme/theme1.xml><?xml version="1.0" encoding="utf-8"?>
<a:theme xmlns:a="http://schemas.openxmlformats.org/drawingml/2006/main" name="Dividend">
  <a:themeElements>
    <a:clrScheme name="Custom 2">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000000"/>
      </a:hlink>
      <a:folHlink>
        <a:srgbClr val="0070C0"/>
      </a:folHlink>
    </a:clrScheme>
    <a:fontScheme name="Dividend">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Glossy">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pphireav.com/Sapphire-Auto-Trigger-System_p_16.html"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apphireav.com/electric-projection-screens.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www.sappl03/"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apphireav.com/AV-Cabinet-with-three-shelves-light_p_450.html" TargetMode="External"/><Relationship Id="rId2" Type="http://schemas.openxmlformats.org/officeDocument/2006/relationships/hyperlink" Target="http://www.sapphireav.com/search.asp?keyword=ssb30&amp;search.x=0&amp;search.y=0" TargetMode="External"/><Relationship Id="rId1" Type="http://schemas.openxmlformats.org/officeDocument/2006/relationships/hyperlink" Target="http://www.sapphireav.com/Sapphire-Auto-Trigger-System_p_1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S260"/>
  <sheetViews>
    <sheetView showGridLines="0" showRowColHeaders="0" tabSelected="1" topLeftCell="B1" zoomScale="90" zoomScaleNormal="90" workbookViewId="0">
      <selection activeCell="B1" sqref="B1"/>
    </sheetView>
  </sheetViews>
  <sheetFormatPr defaultColWidth="14.375" defaultRowHeight="17.25" x14ac:dyDescent="0.35"/>
  <cols>
    <col min="1" max="1" width="14.375" hidden="1" customWidth="1"/>
    <col min="2" max="2" width="4.25" customWidth="1"/>
    <col min="3" max="3" width="24.5" bestFit="1" customWidth="1"/>
    <col min="4" max="4" width="14.375" style="86" customWidth="1"/>
    <col min="5" max="5" width="18" customWidth="1"/>
    <col min="6" max="6" width="16.25" customWidth="1"/>
    <col min="7" max="7" width="12.375" customWidth="1"/>
    <col min="8" max="8" width="7.875" style="25" customWidth="1"/>
    <col min="9" max="9" width="16.75" customWidth="1"/>
    <col min="10" max="10" width="10.125" customWidth="1"/>
    <col min="11" max="11" width="29.25" customWidth="1"/>
    <col min="12" max="12" width="11.125" style="24" customWidth="1"/>
    <col min="13" max="13" width="16.625" style="64" customWidth="1"/>
    <col min="14" max="14" width="7.75" style="64" customWidth="1"/>
    <col min="15" max="15" width="9.125" style="69" customWidth="1"/>
    <col min="16" max="16" width="16.125" customWidth="1"/>
  </cols>
  <sheetData>
    <row r="1" spans="1:18" x14ac:dyDescent="0.35">
      <c r="B1" t="s">
        <v>780</v>
      </c>
      <c r="K1" t="s">
        <v>597</v>
      </c>
    </row>
    <row r="2" spans="1:18" ht="34.5" x14ac:dyDescent="0.35">
      <c r="P2" s="93" t="s">
        <v>674</v>
      </c>
    </row>
    <row r="3" spans="1:18" ht="51.75" customHeight="1" x14ac:dyDescent="0.35">
      <c r="I3" s="22"/>
      <c r="M3" s="65"/>
      <c r="P3" s="93" t="s">
        <v>674</v>
      </c>
    </row>
    <row r="4" spans="1:18" ht="18.75" customHeight="1" x14ac:dyDescent="0.35">
      <c r="C4" s="101" t="s">
        <v>762</v>
      </c>
      <c r="D4" s="101"/>
      <c r="E4" s="27"/>
      <c r="F4" s="27"/>
    </row>
    <row r="5" spans="1:18" ht="66" customHeight="1" x14ac:dyDescent="0.35">
      <c r="A5" t="s">
        <v>0</v>
      </c>
      <c r="C5" s="31" t="s">
        <v>285</v>
      </c>
      <c r="D5" s="87" t="s">
        <v>600</v>
      </c>
      <c r="E5" s="32" t="s">
        <v>606</v>
      </c>
      <c r="F5" s="33" t="s">
        <v>226</v>
      </c>
      <c r="G5" s="34" t="s">
        <v>254</v>
      </c>
      <c r="H5" s="35" t="s">
        <v>217</v>
      </c>
      <c r="I5" s="36" t="s">
        <v>292</v>
      </c>
      <c r="J5" s="37" t="s">
        <v>604</v>
      </c>
      <c r="K5" s="38" t="s">
        <v>599</v>
      </c>
      <c r="L5" s="39" t="s">
        <v>580</v>
      </c>
      <c r="M5" s="66" t="s">
        <v>602</v>
      </c>
      <c r="N5" s="71" t="s">
        <v>607</v>
      </c>
      <c r="O5" s="70" t="s">
        <v>605</v>
      </c>
      <c r="Q5" s="40" t="s">
        <v>676</v>
      </c>
      <c r="R5" s="40"/>
    </row>
    <row r="6" spans="1:18" x14ac:dyDescent="0.35">
      <c r="A6">
        <v>14</v>
      </c>
      <c r="C6" s="23" t="s">
        <v>212</v>
      </c>
      <c r="D6" s="86">
        <v>5060558500983</v>
      </c>
      <c r="E6" t="s">
        <v>243</v>
      </c>
      <c r="G6" t="s">
        <v>611</v>
      </c>
      <c r="H6" s="25" t="s">
        <v>219</v>
      </c>
      <c r="I6" t="s">
        <v>612</v>
      </c>
      <c r="K6" t="s">
        <v>636</v>
      </c>
      <c r="L6" s="30">
        <f>IF(ISNA(INDEX('DO NOT OPEN'!D:D,MATCH(C6,'DO NOT OPEN'!A:A,0),0)),"No Stock",INDEX('DO NOT OPEN'!D:D,MATCH(C6,'DO NOT OPEN'!A:A,0),0))</f>
        <v>4</v>
      </c>
      <c r="M6" s="68" t="str">
        <f>HYPERLINK("http://www.sapphireav.com/Sapphire-Ambient-Light-Fixed-Frame-Screen-221cm-x-125cm_p_636.html","Click for Web Link")</f>
        <v>Click for Web Link</v>
      </c>
      <c r="N6" s="100">
        <v>19</v>
      </c>
      <c r="O6" s="69" t="s">
        <v>298</v>
      </c>
    </row>
    <row r="7" spans="1:18" x14ac:dyDescent="0.35">
      <c r="A7">
        <v>16</v>
      </c>
      <c r="C7" t="s">
        <v>5</v>
      </c>
      <c r="D7" s="86">
        <v>5060558502888</v>
      </c>
      <c r="E7" t="s">
        <v>242</v>
      </c>
      <c r="F7" t="s">
        <v>670</v>
      </c>
      <c r="G7" t="s">
        <v>291</v>
      </c>
      <c r="H7" s="25" t="s">
        <v>218</v>
      </c>
      <c r="I7" t="s">
        <v>601</v>
      </c>
      <c r="J7" t="s">
        <v>282</v>
      </c>
      <c r="K7" s="6" t="s">
        <v>284</v>
      </c>
      <c r="L7" s="30">
        <f>IF(ISNA(INDEX('DO NOT OPEN'!D:D,MATCH(C7,'DO NOT OPEN'!A:A,0),0)),"No Stock",INDEX('DO NOT OPEN'!D:D,MATCH(C7,'DO NOT OPEN'!A:A,0),0))</f>
        <v>1</v>
      </c>
      <c r="M7" s="63" t="str">
        <f>HYPERLINK("http://www.sapphireav.com/Sapphire-Electric-Floor-Screen-Infra-Red-Viewing-Area-1422mm-x-1607mm-43-Format-Approx-Case-Dimensions-L-1611mm-x-H-252mm-x-D-104mm_p_22.html", "Click for Web Link")</f>
        <v>Click for Web Link</v>
      </c>
      <c r="N7" s="100">
        <v>18.5</v>
      </c>
      <c r="O7" s="69">
        <v>15</v>
      </c>
    </row>
    <row r="8" spans="1:18" x14ac:dyDescent="0.35">
      <c r="A8">
        <v>18</v>
      </c>
      <c r="C8" s="23" t="s">
        <v>120</v>
      </c>
      <c r="D8" s="86">
        <v>5060558504035</v>
      </c>
      <c r="E8" t="s">
        <v>242</v>
      </c>
      <c r="F8" t="s">
        <v>253</v>
      </c>
      <c r="G8" t="s">
        <v>257</v>
      </c>
      <c r="H8" s="25" t="s">
        <v>218</v>
      </c>
      <c r="I8" t="s">
        <v>601</v>
      </c>
      <c r="J8" t="s">
        <v>282</v>
      </c>
      <c r="K8" t="s">
        <v>296</v>
      </c>
      <c r="L8" s="30">
        <f>IF(ISNA(INDEX('DO NOT OPEN'!D:D,MATCH(C8,'DO NOT OPEN'!A:A,0),0)),"No Stock",INDEX('DO NOT OPEN'!D:D,MATCH(C8,'DO NOT OPEN'!A:A,0),0))</f>
        <v>0</v>
      </c>
      <c r="M8" s="63" t="str">
        <f>HYPERLINK("http://www.sapphireav.com/Sapphire-Dedicated-Electric-Recessed-Screen-Viewing-Area-1707mm-x-1280mm-43-Approx-Case-Dimensions-Not-Including-Surround-L-1867mm-x-H-122mm-x-D-135mm_p_438.html", "Click for Web Link")</f>
        <v>Click for Web Link</v>
      </c>
      <c r="N8" s="100">
        <v>11</v>
      </c>
      <c r="O8" s="69">
        <v>15</v>
      </c>
    </row>
    <row r="9" spans="1:18" x14ac:dyDescent="0.35">
      <c r="A9">
        <v>22</v>
      </c>
      <c r="B9" s="28"/>
      <c r="C9" s="23" t="s">
        <v>121</v>
      </c>
      <c r="D9" s="86">
        <v>5060558504059</v>
      </c>
      <c r="E9" t="s">
        <v>242</v>
      </c>
      <c r="F9" t="s">
        <v>253</v>
      </c>
      <c r="G9" t="s">
        <v>257</v>
      </c>
      <c r="H9" s="25" t="s">
        <v>219</v>
      </c>
      <c r="I9" t="s">
        <v>601</v>
      </c>
      <c r="J9" t="s">
        <v>282</v>
      </c>
      <c r="K9" t="s">
        <v>296</v>
      </c>
      <c r="L9" s="30">
        <f>IF(ISNA(INDEX('DO NOT OPEN'!D:D,MATCH(C9,'DO NOT OPEN'!A:A,0),0)),"No Stock",INDEX('DO NOT OPEN'!D:D,MATCH(C9,'DO NOT OPEN'!A:A,0),0))</f>
        <v>5</v>
      </c>
      <c r="M9" s="63" t="str">
        <f>HYPERLINK("http://www.sapphireav.com/Sapphire-Dedicated-Electric-Recessed-Screen-Viewing-Area-1705mm-x-959mm-169-Approx-Case-Dimensions-Not-Including-Surround-L-1867mm-x-H-122mm-x-D-135mm_p_439.html", "Click for Web Link")</f>
        <v>Click for Web Link</v>
      </c>
      <c r="N9" s="100">
        <v>11</v>
      </c>
      <c r="O9" s="69">
        <v>15</v>
      </c>
    </row>
    <row r="10" spans="1:18" x14ac:dyDescent="0.35">
      <c r="A10">
        <v>27</v>
      </c>
      <c r="C10" s="23" t="s">
        <v>122</v>
      </c>
      <c r="D10" s="86">
        <v>5060558501317</v>
      </c>
      <c r="E10" t="s">
        <v>242</v>
      </c>
      <c r="F10" t="s">
        <v>253</v>
      </c>
      <c r="G10" t="s">
        <v>256</v>
      </c>
      <c r="H10" s="25" t="s">
        <v>220</v>
      </c>
      <c r="I10" t="s">
        <v>601</v>
      </c>
      <c r="J10" t="s">
        <v>282</v>
      </c>
      <c r="K10" t="s">
        <v>296</v>
      </c>
      <c r="L10" s="30">
        <f>IF(ISNA(INDEX('DO NOT OPEN'!D:D,MATCH(C10,'DO NOT OPEN'!A:A,0),0)),"No Stock",INDEX('DO NOT OPEN'!D:D,MATCH(C10,'DO NOT OPEN'!A:A,0),0))</f>
        <v>18</v>
      </c>
      <c r="M10" s="63" t="str">
        <f>HYPERLINK("http://www.sapphireav.com/Sapphire-dedicated-electric-recessed-screen-Viewing-Area-2032-x-1270mm-1610-Approx-Case-Dimensions-Not-Including-Surround-L-2192-x-H-122-x-D-135mm_p_440.html", "Click for Web Link")</f>
        <v>Click for Web Link</v>
      </c>
      <c r="N10" s="100">
        <v>13</v>
      </c>
      <c r="O10" s="69">
        <v>15</v>
      </c>
    </row>
    <row r="11" spans="1:18" x14ac:dyDescent="0.35">
      <c r="A11">
        <v>29</v>
      </c>
      <c r="C11" s="23" t="s">
        <v>123</v>
      </c>
      <c r="D11" s="86">
        <v>5060558502994</v>
      </c>
      <c r="E11" t="s">
        <v>242</v>
      </c>
      <c r="F11" t="s">
        <v>253</v>
      </c>
      <c r="G11" t="s">
        <v>256</v>
      </c>
      <c r="H11" s="25" t="s">
        <v>218</v>
      </c>
      <c r="I11" t="s">
        <v>601</v>
      </c>
      <c r="J11" t="s">
        <v>282</v>
      </c>
      <c r="K11" t="s">
        <v>296</v>
      </c>
      <c r="L11" s="30">
        <f>IF(ISNA(INDEX('DO NOT OPEN'!D:D,MATCH(C11,'DO NOT OPEN'!A:A,0),0)),"No Stock",INDEX('DO NOT OPEN'!D:D,MATCH(C11,'DO NOT OPEN'!A:A,0),0))</f>
        <v>0</v>
      </c>
      <c r="M11" s="63" t="str">
        <f>HYPERLINK("http://www.sapphireav.com/Sapphire-Dedicated-Electric-Recessed-Screen-2m-43-format-Approx-Case-Dimensions-Not-Including-Surround-L-2192-x-H-122-x-D-135mm_p_441.html", "Click for Web Link")</f>
        <v>Click for Web Link</v>
      </c>
      <c r="N11" s="100">
        <v>13</v>
      </c>
      <c r="O11" s="69">
        <v>15</v>
      </c>
    </row>
    <row r="12" spans="1:18" x14ac:dyDescent="0.35">
      <c r="A12">
        <v>30</v>
      </c>
      <c r="C12" s="23" t="s">
        <v>124</v>
      </c>
      <c r="D12" s="86">
        <v>5060558504066</v>
      </c>
      <c r="E12" t="s">
        <v>242</v>
      </c>
      <c r="F12" t="s">
        <v>253</v>
      </c>
      <c r="G12" t="s">
        <v>256</v>
      </c>
      <c r="H12" s="25" t="s">
        <v>219</v>
      </c>
      <c r="I12" t="s">
        <v>601</v>
      </c>
      <c r="J12" t="s">
        <v>282</v>
      </c>
      <c r="K12" t="s">
        <v>296</v>
      </c>
      <c r="L12" s="30">
        <f>IF(ISNA(INDEX('DO NOT OPEN'!D:D,MATCH(C12,'DO NOT OPEN'!A:A,0),0)),"No Stock",INDEX('DO NOT OPEN'!D:D,MATCH(C12,'DO NOT OPEN'!A:A,0),0))</f>
        <v>15</v>
      </c>
      <c r="M12" s="63" t="str">
        <f>HYPERLINK("http://www.sapphireav.com/Sapphire-Dedicated-Electric-Recessed-Screen-Viewing-Area-2032mm-x-1146mm-169-Approx-Case-Dimensions-Not-Including-Surround-L-2192-x-H-122-x-D-135mm_p_442.html", "Click for Web Link")</f>
        <v>Click for Web Link</v>
      </c>
      <c r="N12" s="100">
        <v>13</v>
      </c>
      <c r="O12" s="69">
        <v>15</v>
      </c>
    </row>
    <row r="13" spans="1:18" x14ac:dyDescent="0.35">
      <c r="A13">
        <v>31</v>
      </c>
      <c r="C13" s="23" t="s">
        <v>125</v>
      </c>
      <c r="D13" s="86">
        <v>5060558504080</v>
      </c>
      <c r="E13" t="s">
        <v>242</v>
      </c>
      <c r="F13" t="s">
        <v>253</v>
      </c>
      <c r="G13" t="s">
        <v>255</v>
      </c>
      <c r="H13" s="25" t="s">
        <v>220</v>
      </c>
      <c r="I13" t="s">
        <v>601</v>
      </c>
      <c r="J13" t="s">
        <v>282</v>
      </c>
      <c r="K13" t="s">
        <v>296</v>
      </c>
      <c r="L13" s="30">
        <f>IF(ISNA(INDEX('DO NOT OPEN'!D:D,MATCH(C13,'DO NOT OPEN'!A:A,0),0)),"No Stock",INDEX('DO NOT OPEN'!D:D,MATCH(C13,'DO NOT OPEN'!A:A,0),0))</f>
        <v>9</v>
      </c>
      <c r="M13" s="63" t="str">
        <f>HYPERLINK("http://www.sapphireav.com/Sapphire-Dedicated-Electric-Recessed-Screen-Viewing-Area-2346mm-x-1466mm-1610-Approx-Case-Dimensions-Not-Including-Surround-L-2506mm-x-H-122mm-x-D-135mm_p_443.html", "Click for Web Link")</f>
        <v>Click for Web Link</v>
      </c>
      <c r="N13" s="100">
        <v>15</v>
      </c>
      <c r="O13" s="69">
        <v>15</v>
      </c>
    </row>
    <row r="14" spans="1:18" x14ac:dyDescent="0.35">
      <c r="A14">
        <v>33</v>
      </c>
      <c r="C14" s="23" t="s">
        <v>126</v>
      </c>
      <c r="D14" s="86">
        <v>5060558503007</v>
      </c>
      <c r="E14" t="s">
        <v>242</v>
      </c>
      <c r="F14" t="s">
        <v>253</v>
      </c>
      <c r="G14" t="s">
        <v>255</v>
      </c>
      <c r="H14" s="25" t="s">
        <v>218</v>
      </c>
      <c r="I14" t="s">
        <v>601</v>
      </c>
      <c r="J14" t="s">
        <v>282</v>
      </c>
      <c r="K14" t="s">
        <v>296</v>
      </c>
      <c r="L14" s="30">
        <f>IF(ISNA(INDEX('DO NOT OPEN'!D:D,MATCH(C14,'DO NOT OPEN'!A:A,0),0)),"No Stock",INDEX('DO NOT OPEN'!D:D,MATCH(C14,'DO NOT OPEN'!A:A,0),0))</f>
        <v>0</v>
      </c>
      <c r="M14" s="63" t="str">
        <f>HYPERLINK("http://www.sapphireav.com/Sapphire-Dedicated-Electric-Recessed-Screen-24m-43-format-Approx-Case-Dimensions-Not-Including-Surround-L-2506mm-x-H-122mm-x-D-135mm_p_444.html", "Click for Web Link")</f>
        <v>Click for Web Link</v>
      </c>
      <c r="N14" s="100">
        <v>15</v>
      </c>
      <c r="O14" s="69">
        <v>15</v>
      </c>
      <c r="P14" t="s">
        <v>761</v>
      </c>
    </row>
    <row r="15" spans="1:18" x14ac:dyDescent="0.35">
      <c r="A15">
        <v>64</v>
      </c>
      <c r="C15" s="23" t="s">
        <v>127</v>
      </c>
      <c r="D15" s="86">
        <v>5060558504073</v>
      </c>
      <c r="E15" t="s">
        <v>242</v>
      </c>
      <c r="F15" t="s">
        <v>253</v>
      </c>
      <c r="G15" t="s">
        <v>255</v>
      </c>
      <c r="H15" s="25" t="s">
        <v>219</v>
      </c>
      <c r="I15" t="s">
        <v>601</v>
      </c>
      <c r="J15" t="s">
        <v>282</v>
      </c>
      <c r="K15" t="s">
        <v>296</v>
      </c>
      <c r="L15" s="30">
        <f>IF(ISNA(INDEX('DO NOT OPEN'!D:D,MATCH(C15,'DO NOT OPEN'!A:A,0),0)),"No Stock",INDEX('DO NOT OPEN'!D:D,MATCH(C15,'DO NOT OPEN'!A:A,0),0))</f>
        <v>33</v>
      </c>
      <c r="M15" s="63" t="str">
        <f>HYPERLINK("http://www.sapphireav.com/Sapphire-dedicated-electric-recessed-screen-Viewing-Area-2346-x-1320mm-169-format-Approx-Case-Dimensions-Not-Including-Surround-L-2506mm-x-H-122mm-x-D-135mm_p_445.html", "Click for Web Link")</f>
        <v>Click for Web Link</v>
      </c>
      <c r="N15" s="100">
        <v>15</v>
      </c>
      <c r="O15" s="69">
        <v>12</v>
      </c>
    </row>
    <row r="16" spans="1:18" x14ac:dyDescent="0.35">
      <c r="A16">
        <v>66</v>
      </c>
      <c r="C16" s="23" t="s">
        <v>158</v>
      </c>
      <c r="D16" s="86">
        <v>5060558504103</v>
      </c>
      <c r="E16" t="s">
        <v>242</v>
      </c>
      <c r="F16" t="s">
        <v>253</v>
      </c>
      <c r="G16" t="s">
        <v>258</v>
      </c>
      <c r="H16" s="25" t="s">
        <v>220</v>
      </c>
      <c r="I16" t="s">
        <v>601</v>
      </c>
      <c r="J16" t="s">
        <v>282</v>
      </c>
      <c r="K16" t="s">
        <v>296</v>
      </c>
      <c r="L16" s="30">
        <f>IF(ISNA(INDEX('DO NOT OPEN'!D:D,MATCH(C16,'DO NOT OPEN'!A:A,0),0)),"No Stock",INDEX('DO NOT OPEN'!D:D,MATCH(C16,'DO NOT OPEN'!A:A,0),0))</f>
        <v>18</v>
      </c>
      <c r="M16" s="63" t="str">
        <f>HYPERLINK("http://www.sapphireav.com/Sapphire-dedicated-electric-recessed-screen-Viewing-Area-2656mm-x-1660mm-1610-Approx-Case-Dimensions-Not-Including-Surround-L-2816mm-x-H-122-x-D-135mm_p_516.html", "Click for Web Link")</f>
        <v>Click for Web Link</v>
      </c>
      <c r="N16" s="100">
        <v>17</v>
      </c>
      <c r="O16" s="69">
        <v>20</v>
      </c>
    </row>
    <row r="17" spans="1:16" x14ac:dyDescent="0.35">
      <c r="A17">
        <v>67</v>
      </c>
      <c r="C17" s="23" t="s">
        <v>193</v>
      </c>
      <c r="D17" s="86">
        <v>5060558504097</v>
      </c>
      <c r="E17" t="s">
        <v>242</v>
      </c>
      <c r="F17" t="s">
        <v>253</v>
      </c>
      <c r="G17" t="s">
        <v>258</v>
      </c>
      <c r="H17" s="25" t="s">
        <v>219</v>
      </c>
      <c r="I17" t="s">
        <v>601</v>
      </c>
      <c r="J17" t="s">
        <v>282</v>
      </c>
      <c r="K17" t="s">
        <v>296</v>
      </c>
      <c r="L17" s="30">
        <f>IF(ISNA(INDEX('DO NOT OPEN'!D:D,MATCH(C17,'DO NOT OPEN'!A:A,0),0)),"No Stock",INDEX('DO NOT OPEN'!D:D,MATCH(C17,'DO NOT OPEN'!A:A,0),0))</f>
        <v>16</v>
      </c>
      <c r="M17" s="63" t="str">
        <f>HYPERLINK("http://www.sapphireav.com/Sapphire-Dedicated-Electric-Recessed-Screen-Viewing-Area-2656mm-x-1494mm-169-Approx-Case-Dimensions-Not-Including-Surround-L-2816mm-x-H-122-x-D-135mm_p_570.html", "Click for Web Link")</f>
        <v>Click for Web Link</v>
      </c>
      <c r="N17" s="100">
        <v>17</v>
      </c>
      <c r="O17" s="69">
        <v>20</v>
      </c>
    </row>
    <row r="18" spans="1:16" x14ac:dyDescent="0.35">
      <c r="A18">
        <v>68</v>
      </c>
      <c r="C18" s="23" t="s">
        <v>128</v>
      </c>
      <c r="D18" s="86">
        <v>5060558503021</v>
      </c>
      <c r="E18" t="s">
        <v>242</v>
      </c>
      <c r="F18" t="s">
        <v>253</v>
      </c>
      <c r="G18" t="s">
        <v>262</v>
      </c>
      <c r="H18" s="25" t="s">
        <v>220</v>
      </c>
      <c r="I18" t="s">
        <v>601</v>
      </c>
      <c r="J18" t="s">
        <v>282</v>
      </c>
      <c r="K18" t="s">
        <v>296</v>
      </c>
      <c r="L18" s="30">
        <f>IF(ISNA(INDEX('DO NOT OPEN'!D:D,MATCH(C18,'DO NOT OPEN'!A:A,0),0)),"No Stock",INDEX('DO NOT OPEN'!D:D,MATCH(C18,'DO NOT OPEN'!A:A,0),0))</f>
        <v>12</v>
      </c>
      <c r="M18" s="63" t="str">
        <f>HYPERLINK("http://www.sapphireav.com/Sapphire-Dedicated-Electric-Recessed-Screen-3m-1610-format-Approx-Case-Dimensions-Not-Including-Surround-L-3198-x-H-122-x-D-135mm_p_446.html", "Click for Web Link")</f>
        <v>Click for Web Link</v>
      </c>
      <c r="N18" s="100">
        <v>19</v>
      </c>
      <c r="O18" s="69">
        <v>30</v>
      </c>
    </row>
    <row r="19" spans="1:16" x14ac:dyDescent="0.35">
      <c r="A19">
        <v>69</v>
      </c>
      <c r="C19" s="23" t="s">
        <v>130</v>
      </c>
      <c r="D19" s="86">
        <v>5060558503014</v>
      </c>
      <c r="E19" t="s">
        <v>242</v>
      </c>
      <c r="F19" t="s">
        <v>253</v>
      </c>
      <c r="G19" t="s">
        <v>262</v>
      </c>
      <c r="H19" s="25" t="s">
        <v>218</v>
      </c>
      <c r="I19" t="s">
        <v>601</v>
      </c>
      <c r="J19" t="s">
        <v>282</v>
      </c>
      <c r="K19" t="s">
        <v>296</v>
      </c>
      <c r="L19" s="30">
        <f>IF(ISNA(INDEX('DO NOT OPEN'!D:D,MATCH(C19,'DO NOT OPEN'!A:A,0),0)),"No Stock",INDEX('DO NOT OPEN'!D:D,MATCH(C19,'DO NOT OPEN'!A:A,0),0))</f>
        <v>0</v>
      </c>
      <c r="M19" s="63" t="str">
        <f>HYPERLINK("http://www.sapphireav.com/Sapphire-Dedicated-Electric-Recessed-Screen-3m-43-format-Approx-Case-Dimensions-Not-Including-Surround-L-3198-x-H-122-x-D-135mm_p_447.html", "Click for Web Link")</f>
        <v>Click for Web Link</v>
      </c>
      <c r="N19" s="100">
        <v>19</v>
      </c>
      <c r="O19" s="69">
        <v>30</v>
      </c>
    </row>
    <row r="20" spans="1:16" x14ac:dyDescent="0.35">
      <c r="A20">
        <v>70</v>
      </c>
      <c r="C20" s="23" t="s">
        <v>141</v>
      </c>
      <c r="D20" s="86">
        <v>5060558501324</v>
      </c>
      <c r="E20" t="s">
        <v>242</v>
      </c>
      <c r="F20" t="s">
        <v>253</v>
      </c>
      <c r="G20" t="s">
        <v>262</v>
      </c>
      <c r="H20" s="25" t="s">
        <v>219</v>
      </c>
      <c r="I20" t="s">
        <v>601</v>
      </c>
      <c r="J20" t="s">
        <v>282</v>
      </c>
      <c r="K20" t="s">
        <v>296</v>
      </c>
      <c r="L20" s="30">
        <f>IF(ISNA(INDEX('DO NOT OPEN'!D:D,MATCH(C20,'DO NOT OPEN'!A:A,0),0)),"No Stock",INDEX('DO NOT OPEN'!D:D,MATCH(C20,'DO NOT OPEN'!A:A,0),0))</f>
        <v>17</v>
      </c>
      <c r="M20" s="63" t="str">
        <f>HYPERLINK("http://www.sapphireav.com/Sapphire-Dedicated-Electric-Recessed-Screen-Viewing-Area-3048mm-x-1715mm-Approx-Case-Dimensions-Not-Including-Surround-L-3198-x-H-122-x-D-135mm_p_483.html", "Click for Web Link")</f>
        <v>Click for Web Link</v>
      </c>
      <c r="N20" s="100">
        <v>19</v>
      </c>
      <c r="O20" s="69">
        <v>30</v>
      </c>
    </row>
    <row r="21" spans="1:16" x14ac:dyDescent="0.35">
      <c r="C21" s="23" t="s">
        <v>711</v>
      </c>
      <c r="D21" s="86">
        <v>5060558503540</v>
      </c>
      <c r="E21" t="s">
        <v>242</v>
      </c>
      <c r="F21" t="s">
        <v>253</v>
      </c>
      <c r="G21" t="s">
        <v>260</v>
      </c>
      <c r="H21" s="25" t="s">
        <v>219</v>
      </c>
      <c r="I21" t="s">
        <v>601</v>
      </c>
      <c r="J21" t="s">
        <v>282</v>
      </c>
      <c r="K21" t="s">
        <v>296</v>
      </c>
      <c r="L21" s="30">
        <f>IF(ISNA(INDEX('DO NOT OPEN'!D:D,MATCH(C21,'DO NOT OPEN'!A:A,0),0)),"No Stock",INDEX('DO NOT OPEN'!D:D,MATCH(C21,'DO NOT OPEN'!A:A,0),0))</f>
        <v>0</v>
      </c>
      <c r="M21" s="63" t="str">
        <f>HYPERLINK("http://www.sapphireav.com/Sapphire-Dedicated-Electric-Recessed-Screen-Viewing-Area-3985mm-x-2241mm-Approx-_p_682.html","Click for Web Link")</f>
        <v>Click for Web Link</v>
      </c>
      <c r="N21" s="100">
        <v>38</v>
      </c>
      <c r="O21" s="69">
        <v>30</v>
      </c>
    </row>
    <row r="22" spans="1:16" x14ac:dyDescent="0.35">
      <c r="A22">
        <v>71</v>
      </c>
      <c r="C22" s="23" t="s">
        <v>183</v>
      </c>
      <c r="D22" s="86">
        <v>5060558503519</v>
      </c>
      <c r="E22" t="s">
        <v>242</v>
      </c>
      <c r="F22" t="s">
        <v>252</v>
      </c>
      <c r="G22" t="s">
        <v>256</v>
      </c>
      <c r="H22" s="25" t="s">
        <v>219</v>
      </c>
      <c r="I22" t="s">
        <v>601</v>
      </c>
      <c r="J22" t="s">
        <v>282</v>
      </c>
      <c r="K22" t="s">
        <v>296</v>
      </c>
      <c r="L22" s="30">
        <f>IF(ISNA(INDEX('DO NOT OPEN'!D:D,MATCH(C22,'DO NOT OPEN'!A:A,0),0)),"No Stock",INDEX('DO NOT OPEN'!D:D,MATCH(C22,'DO NOT OPEN'!A:A,0),0))</f>
        <v>8</v>
      </c>
      <c r="M22" s="63" t="str">
        <f>HYPERLINK("http://www.sapphireav.com/Sapphire-In-Ceiling-Tab-Tensioned-Screen-Viewing-Area-2030mm-x-1140mm-Approx-Case-Dimensions-Not-Including-Surround-L-2625mm-x-H-180mm-x-D-155mm_p_558.html", "Click for Web Link")</f>
        <v>Click for Web Link</v>
      </c>
      <c r="N22" s="100">
        <v>29</v>
      </c>
      <c r="O22" s="69">
        <v>15</v>
      </c>
    </row>
    <row r="23" spans="1:16" x14ac:dyDescent="0.35">
      <c r="A23">
        <v>72</v>
      </c>
      <c r="C23" s="23" t="s">
        <v>184</v>
      </c>
      <c r="D23" s="86">
        <v>5060558501003</v>
      </c>
      <c r="E23" t="s">
        <v>242</v>
      </c>
      <c r="F23" t="s">
        <v>252</v>
      </c>
      <c r="G23" t="s">
        <v>255</v>
      </c>
      <c r="H23" s="25" t="s">
        <v>219</v>
      </c>
      <c r="I23" t="s">
        <v>601</v>
      </c>
      <c r="J23" t="s">
        <v>282</v>
      </c>
      <c r="K23" t="s">
        <v>296</v>
      </c>
      <c r="L23" s="30">
        <f>IF(ISNA(INDEX('DO NOT OPEN'!D:D,MATCH(C23,'DO NOT OPEN'!A:A,0),0)),"No Stock",INDEX('DO NOT OPEN'!D:D,MATCH(C23,'DO NOT OPEN'!A:A,0),0))</f>
        <v>4</v>
      </c>
      <c r="M23" s="63" t="str">
        <f>HYPERLINK("http://www.sapphireav.com/Sapphire-In-Ceiling-Tab-Tensioned-Screen-Viewing-Area-2340mm-x-1320mm-Approx-Case-Dimensions-Not-Including-Surround-L-2935mm-x-H-180mm-x-D-155mm_p_559.html", "Click for Web Link")</f>
        <v>Click for Web Link</v>
      </c>
      <c r="N23" s="100">
        <v>34.299999999999997</v>
      </c>
      <c r="O23" s="69">
        <v>15</v>
      </c>
    </row>
    <row r="24" spans="1:16" x14ac:dyDescent="0.35">
      <c r="A24">
        <v>74</v>
      </c>
      <c r="C24" s="23" t="s">
        <v>464</v>
      </c>
      <c r="D24" s="86">
        <v>5060558501423</v>
      </c>
      <c r="E24" s="2" t="s">
        <v>242</v>
      </c>
      <c r="F24" t="s">
        <v>252</v>
      </c>
      <c r="G24" t="s">
        <v>255</v>
      </c>
      <c r="H24" s="25" t="s">
        <v>219</v>
      </c>
      <c r="I24" t="s">
        <v>294</v>
      </c>
      <c r="J24" t="s">
        <v>282</v>
      </c>
      <c r="K24" t="s">
        <v>296</v>
      </c>
      <c r="L24" s="30">
        <f>IF(ISNA(INDEX('DO NOT OPEN'!D:D,MATCH(C24,'DO NOT OPEN'!A:A,0),0)),"No Stock",INDEX('DO NOT OPEN'!D:D,MATCH(C24,'DO NOT OPEN'!A:A,0),0))</f>
        <v>2</v>
      </c>
      <c r="M24" s="63" t="str">
        <f>HYPERLINK("http://www.sapphireav.com/Sapphire-In-Ceiling-Tab-Tensioned-Woven-Acoustic-Screen-Viewing-Area-2340mm-x-1320mm-Approx-Case-Dimensions-Not-Including-Surround-L-2935mm-x-H-180mm-x-D-155mm_p_663.html","Click for Web Link")</f>
        <v>Click for Web Link</v>
      </c>
      <c r="N24" s="100">
        <v>34.299999999999997</v>
      </c>
      <c r="O24" s="69">
        <v>15</v>
      </c>
    </row>
    <row r="25" spans="1:16" x14ac:dyDescent="0.35">
      <c r="A25">
        <v>75</v>
      </c>
      <c r="C25" s="23" t="s">
        <v>185</v>
      </c>
      <c r="D25" s="86">
        <v>5060558501027</v>
      </c>
      <c r="E25" t="s">
        <v>242</v>
      </c>
      <c r="F25" t="s">
        <v>252</v>
      </c>
      <c r="G25" t="s">
        <v>258</v>
      </c>
      <c r="H25" s="25" t="s">
        <v>219</v>
      </c>
      <c r="I25" t="s">
        <v>601</v>
      </c>
      <c r="J25" t="s">
        <v>282</v>
      </c>
      <c r="K25" t="s">
        <v>296</v>
      </c>
      <c r="L25" s="30">
        <f>IF(ISNA(INDEX('DO NOT OPEN'!D:D,MATCH(C25,'DO NOT OPEN'!A:A,0),0)),"No Stock",INDEX('DO NOT OPEN'!D:D,MATCH(C25,'DO NOT OPEN'!A:A,0),0))</f>
        <v>6</v>
      </c>
      <c r="M25" s="63" t="str">
        <f>HYPERLINK("http://www.sapphireav.com/Sapphire-In-Ceiling-Tab-Tensioned-Screen-Viewing-Area-2670mm-x-1500mm-_p_560.html", "Click for Web Link")</f>
        <v>Click for Web Link</v>
      </c>
      <c r="N25" s="100">
        <v>34.299999999999997</v>
      </c>
      <c r="O25" s="69">
        <v>20</v>
      </c>
    </row>
    <row r="26" spans="1:16" x14ac:dyDescent="0.35">
      <c r="A26">
        <v>76</v>
      </c>
      <c r="C26" s="23" t="s">
        <v>103</v>
      </c>
      <c r="D26" s="86">
        <v>5060558502048</v>
      </c>
      <c r="E26" t="s">
        <v>242</v>
      </c>
      <c r="F26" t="s">
        <v>671</v>
      </c>
      <c r="G26" t="s">
        <v>256</v>
      </c>
      <c r="H26" s="25" t="s">
        <v>218</v>
      </c>
      <c r="I26" t="s">
        <v>601</v>
      </c>
      <c r="J26" t="s">
        <v>282</v>
      </c>
      <c r="K26" t="s">
        <v>296</v>
      </c>
      <c r="L26" s="30">
        <f>IF(ISNA(INDEX('DO NOT OPEN'!D:D,MATCH(C26,'DO NOT OPEN'!A:A,0),0)),"No Stock",INDEX('DO NOT OPEN'!D:D,MATCH(C26,'DO NOT OPEN'!A:A,0),0))</f>
        <v>0</v>
      </c>
      <c r="M26" s="63" t="str">
        <f>HYPERLINK("http://www.sapphireav.com/Sapphire-Tab-Tension-Electric-Screen-Infra-Red-Viewing-Area-2037mm-x-1524mm-Approx-Case-Dimensions-L-2490mm-x-H-145mm-x-D-137mm_p_267.html", "Click for Web Link")</f>
        <v>Click for Web Link</v>
      </c>
      <c r="N26" s="100">
        <v>19.600000000000001</v>
      </c>
      <c r="O26" s="69">
        <v>15</v>
      </c>
    </row>
    <row r="27" spans="1:16" x14ac:dyDescent="0.35">
      <c r="A27">
        <v>77</v>
      </c>
      <c r="C27" s="23" t="s">
        <v>24</v>
      </c>
      <c r="D27" s="86">
        <v>5060558502055</v>
      </c>
      <c r="E27" t="s">
        <v>242</v>
      </c>
      <c r="F27" t="s">
        <v>671</v>
      </c>
      <c r="G27" t="s">
        <v>256</v>
      </c>
      <c r="H27" s="25" t="s">
        <v>219</v>
      </c>
      <c r="I27" t="s">
        <v>601</v>
      </c>
      <c r="J27" t="s">
        <v>282</v>
      </c>
      <c r="K27" t="s">
        <v>296</v>
      </c>
      <c r="L27" s="30">
        <f>IF(ISNA(INDEX('DO NOT OPEN'!D:D,MATCH(C27,'DO NOT OPEN'!A:A,0),0)),"No Stock",INDEX('DO NOT OPEN'!D:D,MATCH(C27,'DO NOT OPEN'!A:A,0),0))</f>
        <v>1</v>
      </c>
      <c r="M27" s="63" t="str">
        <f>HYPERLINK("http://www.sapphireav.com/Sapphire-Tab-Tension-Electric-Screen-Infra-Red-Viewing-Area-2037mm-x-1145mm-Approx-Case-Dimensions-L-2490mm-x-H-145mm-x-D-137mm_p_278.html", "Click for Web Link")</f>
        <v>Click for Web Link</v>
      </c>
      <c r="N27" s="100">
        <v>19.600000000000001</v>
      </c>
      <c r="O27" s="69">
        <v>15</v>
      </c>
      <c r="P27" t="s">
        <v>675</v>
      </c>
    </row>
    <row r="28" spans="1:16" x14ac:dyDescent="0.35">
      <c r="A28">
        <v>78</v>
      </c>
      <c r="C28" s="23" t="s">
        <v>165</v>
      </c>
      <c r="D28" s="86">
        <v>5060558501119</v>
      </c>
      <c r="E28" t="s">
        <v>242</v>
      </c>
      <c r="F28" t="s">
        <v>671</v>
      </c>
      <c r="G28" t="s">
        <v>256</v>
      </c>
      <c r="H28" s="25" t="s">
        <v>220</v>
      </c>
      <c r="I28" t="s">
        <v>601</v>
      </c>
      <c r="J28" t="s">
        <v>282</v>
      </c>
      <c r="K28" t="s">
        <v>296</v>
      </c>
      <c r="L28" s="30">
        <f>IF(ISNA(INDEX('DO NOT OPEN'!D:D,MATCH(C28,'DO NOT OPEN'!A:A,0),0)),"No Stock",INDEX('DO NOT OPEN'!D:D,MATCH(C28,'DO NOT OPEN'!A:A,0),0))</f>
        <v>11</v>
      </c>
      <c r="M28" s="63" t="str">
        <f>HYPERLINK("http://www.sapphireav.com/Sapphire-Tab-Tension-Electric-Infra-Red-Screen-Viewing-Area-2037mm-x-1273mm-Approx-Case-Dimensions-L-2490mm-x-H-145mm-x-D-137mm_p_528.html", "Click for Web Link")</f>
        <v>Click for Web Link</v>
      </c>
      <c r="N28" s="100">
        <v>19.600000000000001</v>
      </c>
      <c r="O28" s="69">
        <v>15</v>
      </c>
    </row>
    <row r="29" spans="1:16" x14ac:dyDescent="0.35">
      <c r="A29">
        <v>79</v>
      </c>
      <c r="C29" s="23" t="s">
        <v>693</v>
      </c>
      <c r="D29" s="86">
        <v>5060558501416</v>
      </c>
      <c r="E29" t="s">
        <v>242</v>
      </c>
      <c r="F29" t="s">
        <v>671</v>
      </c>
      <c r="G29" t="s">
        <v>256</v>
      </c>
      <c r="H29" s="25" t="s">
        <v>219</v>
      </c>
      <c r="I29" t="s">
        <v>601</v>
      </c>
      <c r="J29" t="s">
        <v>282</v>
      </c>
      <c r="K29" t="s">
        <v>296</v>
      </c>
      <c r="L29" s="30">
        <f>IF(ISNA(INDEX('DO NOT OPEN'!D:D,MATCH(C29,'DO NOT OPEN'!A:A,0),0)),"No Stock",INDEX('DO NOT OPEN'!D:D,MATCH(C29,'DO NOT OPEN'!A:A,0),0))</f>
        <v>3</v>
      </c>
      <c r="M29" s="63" t="str">
        <f>HYPERLINK("http://www.sapphireav.com/Sapphire-Tab-Tension-Electric-Screen-Infra-Red-Viewing-Area-2037mm-x-1145mm-Woven-Approx-Case-Dimensions-L-2490mm-x-H-145mm-x-D-137mm_p_589.html", "Click for Web Link")</f>
        <v>Click for Web Link</v>
      </c>
      <c r="N29" s="100">
        <v>19.600000000000001</v>
      </c>
      <c r="O29" s="69">
        <v>15</v>
      </c>
    </row>
    <row r="30" spans="1:16" x14ac:dyDescent="0.35">
      <c r="A30">
        <v>80</v>
      </c>
      <c r="C30" s="23" t="s">
        <v>102</v>
      </c>
      <c r="D30" s="86">
        <v>5060558502062</v>
      </c>
      <c r="E30" t="s">
        <v>242</v>
      </c>
      <c r="F30" t="s">
        <v>671</v>
      </c>
      <c r="G30" t="s">
        <v>255</v>
      </c>
      <c r="H30" s="25" t="s">
        <v>218</v>
      </c>
      <c r="I30" t="s">
        <v>601</v>
      </c>
      <c r="J30" t="s">
        <v>282</v>
      </c>
      <c r="K30" t="s">
        <v>296</v>
      </c>
      <c r="L30" s="30">
        <f>IF(ISNA(INDEX('DO NOT OPEN'!D:D,MATCH(C30,'DO NOT OPEN'!A:A,0),0)),"No Stock",INDEX('DO NOT OPEN'!D:D,MATCH(C30,'DO NOT OPEN'!A:A,0),0))</f>
        <v>1</v>
      </c>
      <c r="M30" s="63" t="str">
        <f>HYPERLINK("http://www.sapphireav.com/Sapphire-Tab-Tension-Electric-Screen-Infra-Red-Viewing-Area-2436mm-x-1829mm-Approx-Case-Dimensions-L-2834mm-x-H-134mm-x-D-135mm_p_266.html", "Click for Web Link")</f>
        <v>Click for Web Link</v>
      </c>
      <c r="N30" s="100">
        <v>23</v>
      </c>
      <c r="O30" s="69">
        <v>15</v>
      </c>
    </row>
    <row r="31" spans="1:16" x14ac:dyDescent="0.35">
      <c r="A31">
        <v>81</v>
      </c>
      <c r="C31" s="23" t="s">
        <v>30</v>
      </c>
      <c r="D31" s="86">
        <v>5060558502079</v>
      </c>
      <c r="E31" t="s">
        <v>242</v>
      </c>
      <c r="F31" t="s">
        <v>671</v>
      </c>
      <c r="G31" t="s">
        <v>255</v>
      </c>
      <c r="H31" s="25" t="s">
        <v>219</v>
      </c>
      <c r="I31" t="s">
        <v>601</v>
      </c>
      <c r="J31" t="s">
        <v>282</v>
      </c>
      <c r="K31" t="s">
        <v>296</v>
      </c>
      <c r="L31" s="30">
        <f>IF(ISNA(INDEX('DO NOT OPEN'!D:D,MATCH(C31,'DO NOT OPEN'!A:A,0),0)),"No Stock",INDEX('DO NOT OPEN'!D:D,MATCH(C31,'DO NOT OPEN'!A:A,0),0))</f>
        <v>18</v>
      </c>
      <c r="M31" s="63" t="str">
        <f>HYPERLINK("http://www.sapphireav.com/Sapphire-Tab-Tension-Electric-Screen-Infra-Red-Viewing-Area-2346mm-x-1320mm-Approx-Case-Dimensions-L-2834mm-x-H-134mm-x-D-135mm_p_279.html", "Click for Web Link")</f>
        <v>Click for Web Link</v>
      </c>
      <c r="N31" s="100">
        <v>23</v>
      </c>
      <c r="O31" s="69">
        <v>15</v>
      </c>
    </row>
    <row r="32" spans="1:16" x14ac:dyDescent="0.35">
      <c r="A32">
        <v>82</v>
      </c>
      <c r="C32" s="23" t="s">
        <v>166</v>
      </c>
      <c r="D32" s="86">
        <v>5060558501140</v>
      </c>
      <c r="E32" t="s">
        <v>242</v>
      </c>
      <c r="F32" t="s">
        <v>671</v>
      </c>
      <c r="G32" t="s">
        <v>255</v>
      </c>
      <c r="H32" s="25" t="s">
        <v>220</v>
      </c>
      <c r="I32" t="s">
        <v>601</v>
      </c>
      <c r="J32" t="s">
        <v>282</v>
      </c>
      <c r="K32" t="s">
        <v>296</v>
      </c>
      <c r="L32" s="30">
        <f>IF(ISNA(INDEX('DO NOT OPEN'!D:D,MATCH(C32,'DO NOT OPEN'!A:A,0),0)),"No Stock",INDEX('DO NOT OPEN'!D:D,MATCH(C32,'DO NOT OPEN'!A:A,0),0))</f>
        <v>11</v>
      </c>
      <c r="M32" s="63" t="str">
        <f>HYPERLINK("http://www.sapphireav.com/Sapphire-Tab-Tension-Electric-Infra-Red-Screen-Viewing-Area-2346mm-x-1466mm-Approx-Case-Dimensions-L-2834mm-x-H-134mm-x-D-135mm_p_529.html", "Click for Web Link")</f>
        <v>Click for Web Link</v>
      </c>
      <c r="N32" s="100">
        <v>23</v>
      </c>
      <c r="O32" s="69">
        <v>15</v>
      </c>
    </row>
    <row r="33" spans="1:16" x14ac:dyDescent="0.35">
      <c r="A33">
        <v>83</v>
      </c>
      <c r="C33" s="23" t="s">
        <v>694</v>
      </c>
      <c r="D33" s="86">
        <v>5060558501553</v>
      </c>
      <c r="E33" t="s">
        <v>242</v>
      </c>
      <c r="F33" t="s">
        <v>671</v>
      </c>
      <c r="G33" t="s">
        <v>255</v>
      </c>
      <c r="H33" s="25" t="s">
        <v>219</v>
      </c>
      <c r="I33" t="s">
        <v>601</v>
      </c>
      <c r="J33" t="s">
        <v>282</v>
      </c>
      <c r="K33" t="s">
        <v>296</v>
      </c>
      <c r="L33" s="30">
        <f>IF(ISNA(INDEX('DO NOT OPEN'!D:D,MATCH(C33,'DO NOT OPEN'!A:A,0),0)),"No Stock",INDEX('DO NOT OPEN'!D:D,MATCH(C33,'DO NOT OPEN'!A:A,0),0))</f>
        <v>3</v>
      </c>
      <c r="M33" s="63" t="str">
        <f>HYPERLINK("http://www.sapphireav.com/Sapphire-Tab-Tension-Electric-Screen-Infra-Red-Viewing-Area-2346mm-x-1320mm-Woven-Approx-Case-Dimensions-L-2834mm-x-H-134mm-x-D-135mm_p_590.html", "Click for Web Link")</f>
        <v>Click for Web Link</v>
      </c>
      <c r="N33" s="100">
        <v>23</v>
      </c>
      <c r="O33" s="69">
        <v>12</v>
      </c>
    </row>
    <row r="34" spans="1:16" x14ac:dyDescent="0.35">
      <c r="A34">
        <v>84</v>
      </c>
      <c r="C34" s="23" t="s">
        <v>6</v>
      </c>
      <c r="D34" s="86">
        <v>5060558502086</v>
      </c>
      <c r="E34" t="s">
        <v>242</v>
      </c>
      <c r="F34" t="s">
        <v>671</v>
      </c>
      <c r="G34" t="s">
        <v>262</v>
      </c>
      <c r="H34" s="25" t="s">
        <v>218</v>
      </c>
      <c r="I34" t="s">
        <v>601</v>
      </c>
      <c r="J34" t="s">
        <v>282</v>
      </c>
      <c r="K34" t="s">
        <v>296</v>
      </c>
      <c r="L34" s="30">
        <f>IF(ISNA(INDEX('DO NOT OPEN'!D:D,MATCH(C34,'DO NOT OPEN'!A:A,0),0)),"No Stock",INDEX('DO NOT OPEN'!D:D,MATCH(C34,'DO NOT OPEN'!A:A,0),0))</f>
        <v>1</v>
      </c>
      <c r="M34" s="63" t="str">
        <f>HYPERLINK("http://www.sapphireav.com/Sapphire-Tab-Tension-Electric-Screen-Infra-Red-Viewing-Area-3010mm-x-2286mm-Approx-Case-Dimensions-L-3538mm-x-H-143mm-x-D-135mm_p_265.html", "Click for Web Link")</f>
        <v>Click for Web Link</v>
      </c>
      <c r="N34" s="100">
        <v>35</v>
      </c>
      <c r="O34" s="69">
        <v>30</v>
      </c>
    </row>
    <row r="35" spans="1:16" x14ac:dyDescent="0.35">
      <c r="A35">
        <v>85</v>
      </c>
      <c r="C35" s="23" t="s">
        <v>32</v>
      </c>
      <c r="D35" s="86">
        <v>5060558502093</v>
      </c>
      <c r="E35" t="s">
        <v>242</v>
      </c>
      <c r="F35" t="s">
        <v>671</v>
      </c>
      <c r="G35" t="s">
        <v>262</v>
      </c>
      <c r="H35" s="25" t="s">
        <v>219</v>
      </c>
      <c r="I35" t="s">
        <v>601</v>
      </c>
      <c r="J35" t="s">
        <v>282</v>
      </c>
      <c r="K35" t="s">
        <v>296</v>
      </c>
      <c r="L35" s="30">
        <f>IF(ISNA(INDEX('DO NOT OPEN'!D:D,MATCH(C35,'DO NOT OPEN'!A:A,0),0)),"No Stock",INDEX('DO NOT OPEN'!D:D,MATCH(C35,'DO NOT OPEN'!A:A,0),0))</f>
        <v>5</v>
      </c>
      <c r="M35" s="63" t="str">
        <f>HYPERLINK("http://www.sapphireav.com/Sapphire-Teb-Tension-Electric-Infra-Red-Screen-Viewing-Area-3010mm-x-1693mm-Approx-Case-Dimensions-L-3538mm-x-H-143mm-x-D-135mm_p_277.html", "Click for Web Link")</f>
        <v>Click for Web Link</v>
      </c>
      <c r="N35" s="100">
        <v>35</v>
      </c>
      <c r="O35" s="69">
        <v>30</v>
      </c>
    </row>
    <row r="36" spans="1:16" x14ac:dyDescent="0.35">
      <c r="A36">
        <v>86</v>
      </c>
      <c r="C36" s="23" t="s">
        <v>167</v>
      </c>
      <c r="D36" s="86">
        <v>5060558503618</v>
      </c>
      <c r="E36" t="s">
        <v>242</v>
      </c>
      <c r="F36" t="s">
        <v>671</v>
      </c>
      <c r="G36" t="s">
        <v>262</v>
      </c>
      <c r="H36" s="25" t="s">
        <v>220</v>
      </c>
      <c r="I36" t="s">
        <v>601</v>
      </c>
      <c r="J36" t="s">
        <v>282</v>
      </c>
      <c r="K36" t="s">
        <v>296</v>
      </c>
      <c r="L36" s="30">
        <f>IF(ISNA(INDEX('DO NOT OPEN'!D:D,MATCH(C36,'DO NOT OPEN'!A:A,0),0)),"No Stock",INDEX('DO NOT OPEN'!D:D,MATCH(C36,'DO NOT OPEN'!A:A,0),0))</f>
        <v>12</v>
      </c>
      <c r="M36" s="63" t="str">
        <f>HYPERLINK("http://www.sapphireav.com/Sapphire-Tab-Tension-Electric-Infra-Red-Screen-Viewing-Area-3010mm-x-1881mm-Approx-Case-Dimensions-L-3538mm-x-H-143mm-x-D-135mm_p_530.html", "Click for Web Link")</f>
        <v>Click for Web Link</v>
      </c>
      <c r="N36" s="100">
        <v>35</v>
      </c>
      <c r="O36" s="69">
        <v>30</v>
      </c>
    </row>
    <row r="37" spans="1:16" x14ac:dyDescent="0.35">
      <c r="A37">
        <v>88</v>
      </c>
      <c r="C37" s="23" t="s">
        <v>695</v>
      </c>
      <c r="D37" s="86">
        <v>5060558501584</v>
      </c>
      <c r="E37" t="s">
        <v>242</v>
      </c>
      <c r="F37" t="s">
        <v>671</v>
      </c>
      <c r="G37" t="s">
        <v>262</v>
      </c>
      <c r="H37" s="25" t="s">
        <v>219</v>
      </c>
      <c r="I37" t="s">
        <v>601</v>
      </c>
      <c r="J37" t="s">
        <v>282</v>
      </c>
      <c r="K37" t="s">
        <v>296</v>
      </c>
      <c r="L37" s="30">
        <f>IF(ISNA(INDEX('DO NOT OPEN'!D:D,MATCH(C37,'DO NOT OPEN'!A:A,0),0)),"No Stock",INDEX('DO NOT OPEN'!D:D,MATCH(C37,'DO NOT OPEN'!A:A,0),0))</f>
        <v>1</v>
      </c>
      <c r="M37" s="63" t="str">
        <f>HYPERLINK("http://www.sapphireav.com/Sapphire-Teb-Tension-Electric-Infra-Red-Screen-Viewing-Area-3010mm-x-1693mm-Woven-Approx-Case-Dimensions-L-3538mm-x-H-143mm-x-D-135mm_p_591.html", "Click for Web Link")</f>
        <v>Click for Web Link</v>
      </c>
      <c r="N37" s="100">
        <v>35</v>
      </c>
      <c r="O37" s="69">
        <v>30</v>
      </c>
    </row>
    <row r="38" spans="1:16" x14ac:dyDescent="0.35">
      <c r="A38">
        <v>89</v>
      </c>
      <c r="C38" s="23" t="s">
        <v>111</v>
      </c>
      <c r="D38" s="86">
        <v>5060558503038</v>
      </c>
      <c r="E38" t="s">
        <v>242</v>
      </c>
      <c r="F38" t="s">
        <v>671</v>
      </c>
      <c r="G38" t="s">
        <v>261</v>
      </c>
      <c r="H38" s="25" t="s">
        <v>219</v>
      </c>
      <c r="I38" t="s">
        <v>601</v>
      </c>
      <c r="J38" t="s">
        <v>281</v>
      </c>
      <c r="K38" s="11" t="s">
        <v>296</v>
      </c>
      <c r="L38" s="30">
        <f>IF(ISNA(INDEX('DO NOT OPEN'!D:D,MATCH(C38,'DO NOT OPEN'!A:A,0),0)),"No Stock",INDEX('DO NOT OPEN'!D:D,MATCH(C38,'DO NOT OPEN'!A:A,0),0))</f>
        <v>2</v>
      </c>
      <c r="M38" s="63" t="str">
        <f>HYPERLINK("http://www.sapphireav.com/Sapphire-Tab-Tension-Electric-Infra-Red-Screen-3498mm-x-1966mm-Approx-Case-Dimensions-L-3988mm-x-H-143mm-x-D-135mm_p_331.html", "Click for Web Link")</f>
        <v>Click for Web Link</v>
      </c>
      <c r="N38" s="100">
        <v>40</v>
      </c>
      <c r="O38" s="69">
        <v>30</v>
      </c>
    </row>
    <row r="39" spans="1:16" x14ac:dyDescent="0.35">
      <c r="A39">
        <v>91</v>
      </c>
      <c r="C39" s="23" t="s">
        <v>168</v>
      </c>
      <c r="D39" s="86">
        <v>5060558503632</v>
      </c>
      <c r="E39" t="s">
        <v>242</v>
      </c>
      <c r="F39" t="s">
        <v>671</v>
      </c>
      <c r="G39" t="s">
        <v>261</v>
      </c>
      <c r="H39" s="25" t="s">
        <v>220</v>
      </c>
      <c r="I39" t="s">
        <v>601</v>
      </c>
      <c r="J39" t="s">
        <v>281</v>
      </c>
      <c r="K39" s="11" t="s">
        <v>296</v>
      </c>
      <c r="L39" s="30">
        <f>IF(ISNA(INDEX('DO NOT OPEN'!D:D,MATCH(C39,'DO NOT OPEN'!A:A,0),0)),"No Stock",INDEX('DO NOT OPEN'!D:D,MATCH(C39,'DO NOT OPEN'!A:A,0),0))</f>
        <v>6</v>
      </c>
      <c r="M39" s="63" t="str">
        <f>HYPERLINK("http://www.sapphireav.com/Sapphire-Tab-Tension-Electric-Infra-Red-Screen-3498mm-x-2181mm-Approx-Case-Dimensions-L-3988mm-x-H-143mm-x-D-135mm_p_531.html", "Click for Web Link")</f>
        <v>Click for Web Link</v>
      </c>
      <c r="N39" s="100">
        <v>40</v>
      </c>
      <c r="O39" s="69">
        <v>30</v>
      </c>
    </row>
    <row r="40" spans="1:16" x14ac:dyDescent="0.35">
      <c r="C40" s="53" t="s">
        <v>213</v>
      </c>
      <c r="D40" s="86">
        <v>5060558501300</v>
      </c>
      <c r="E40" t="s">
        <v>242</v>
      </c>
      <c r="F40" t="s">
        <v>671</v>
      </c>
      <c r="G40" t="s">
        <v>260</v>
      </c>
      <c r="H40" s="25" t="s">
        <v>219</v>
      </c>
      <c r="I40" t="s">
        <v>601</v>
      </c>
      <c r="J40" t="s">
        <v>281</v>
      </c>
      <c r="K40" s="11" t="s">
        <v>296</v>
      </c>
      <c r="L40" s="30">
        <f>IF(ISNA(INDEX('DO NOT OPEN'!D:D,MATCH(C40,'DO NOT OPEN'!A:A,0),0)),"No Stock",INDEX('DO NOT OPEN'!D:D,MATCH(C40,'DO NOT OPEN'!A:A,0),0))</f>
        <v>2</v>
      </c>
      <c r="M40" s="63" t="str">
        <f>HYPERLINK("http://www.sapphireav.com/search.asp?keyword=SETTS400WSF-AW&amp;search.x=11&amp;search.y=4ges/tabtension-white-750p.jpg,", "Click for Web Link")</f>
        <v>Click for Web Link</v>
      </c>
      <c r="N40" s="100">
        <v>50</v>
      </c>
      <c r="O40" s="69">
        <v>30</v>
      </c>
    </row>
    <row r="41" spans="1:16" x14ac:dyDescent="0.35">
      <c r="A41">
        <v>92</v>
      </c>
      <c r="C41" s="53" t="s">
        <v>713</v>
      </c>
      <c r="D41" s="86">
        <v>5060558500952</v>
      </c>
      <c r="E41" t="s">
        <v>242</v>
      </c>
      <c r="F41" t="s">
        <v>671</v>
      </c>
      <c r="G41" t="s">
        <v>260</v>
      </c>
      <c r="H41" s="25" t="s">
        <v>220</v>
      </c>
      <c r="I41" t="s">
        <v>601</v>
      </c>
      <c r="J41" t="s">
        <v>281</v>
      </c>
      <c r="K41" s="11" t="s">
        <v>296</v>
      </c>
      <c r="L41" s="30">
        <f>IF(ISNA(INDEX('DO NOT OPEN'!D:D,MATCH(C41,'DO NOT OPEN'!A:A,0),0)),"No Stock",INDEX('DO NOT OPEN'!D:D,MATCH(C41,'DO NOT OPEN'!A:A,0),0))</f>
        <v>0</v>
      </c>
      <c r="M41" s="63" t="str">
        <f>HYPERLINK("http://www.sapphireav.com/Sapphire-Tab-Tension-Infra-Red-Electric-Screen-Viewing-area-3985-x-2490mm-Approx-Case-Dimensions-L-4449-x-H-145-x-D-137mm_p_683.html","Click for Web Link")</f>
        <v>Click for Web Link</v>
      </c>
      <c r="N41" s="100">
        <v>50</v>
      </c>
      <c r="O41" s="69">
        <v>30</v>
      </c>
    </row>
    <row r="42" spans="1:16" x14ac:dyDescent="0.35">
      <c r="A42">
        <v>93</v>
      </c>
      <c r="C42" t="s">
        <v>15</v>
      </c>
      <c r="D42" s="86">
        <v>5060558502116</v>
      </c>
      <c r="E42" t="s">
        <v>242</v>
      </c>
      <c r="F42" t="s">
        <v>777</v>
      </c>
      <c r="G42" t="s">
        <v>259</v>
      </c>
      <c r="H42" s="25" t="s">
        <v>218</v>
      </c>
      <c r="I42" t="s">
        <v>601</v>
      </c>
      <c r="J42" t="s">
        <v>282</v>
      </c>
      <c r="K42" t="s">
        <v>284</v>
      </c>
      <c r="L42" s="30">
        <f>IF(ISNA(INDEX('DO NOT OPEN'!D:D,MATCH(C42,'DO NOT OPEN'!A:A,0),0)),"No Stock",INDEX('DO NOT OPEN'!D:D,MATCH(C42,'DO NOT OPEN'!A:A,0),0))</f>
        <v>1</v>
      </c>
      <c r="M42" s="63" t="str">
        <f>HYPERLINK("http://www.sapphireav.com/Sapphire-Electric-Screen-Infra-Red-Viewing-Area-1463mm-x-1097mm-Approx-Case-Dimensions-L-1744mm-x-H-93mm-x-D-79mm_p_66.html", "Click for Web Link")</f>
        <v>Click for Web Link</v>
      </c>
      <c r="N42" s="100">
        <v>8.5</v>
      </c>
      <c r="O42" s="69">
        <v>12</v>
      </c>
    </row>
    <row r="43" spans="1:16" x14ac:dyDescent="0.35">
      <c r="A43">
        <v>94</v>
      </c>
      <c r="C43" t="s">
        <v>16</v>
      </c>
      <c r="D43" s="86">
        <v>5060558502109</v>
      </c>
      <c r="E43" t="s">
        <v>242</v>
      </c>
      <c r="F43" t="s">
        <v>777</v>
      </c>
      <c r="G43" t="s">
        <v>259</v>
      </c>
      <c r="H43" s="25" t="s">
        <v>239</v>
      </c>
      <c r="I43" t="s">
        <v>601</v>
      </c>
      <c r="J43" t="s">
        <v>282</v>
      </c>
      <c r="K43" t="s">
        <v>284</v>
      </c>
      <c r="L43" s="30">
        <f>IF(ISNA(INDEX('DO NOT OPEN'!D:D,MATCH(C43,'DO NOT OPEN'!A:A,0),0)),"No Stock",INDEX('DO NOT OPEN'!D:D,MATCH(C43,'DO NOT OPEN'!A:A,0),0))</f>
        <v>0</v>
      </c>
      <c r="M43" s="63" t="str">
        <f>HYPERLINK("http://www.sapphireav.com/Sapphire-Electric-Screen-Infra-Red-Viewing-Area-1520mm-x-1520mm-Approx-Case-Dimensions-L-1794mm-x-H-93mm-x-D-79mm_p_67.html", "Click for Web Link")</f>
        <v>Click for Web Link</v>
      </c>
      <c r="N43" s="100">
        <v>9.5</v>
      </c>
      <c r="O43" s="69">
        <v>12</v>
      </c>
    </row>
    <row r="44" spans="1:16" x14ac:dyDescent="0.35">
      <c r="A44">
        <v>95</v>
      </c>
      <c r="C44" t="s">
        <v>17</v>
      </c>
      <c r="D44" s="86">
        <v>5060558502123</v>
      </c>
      <c r="E44" t="s">
        <v>242</v>
      </c>
      <c r="F44" t="s">
        <v>777</v>
      </c>
      <c r="G44" t="s">
        <v>259</v>
      </c>
      <c r="H44" s="25" t="s">
        <v>218</v>
      </c>
      <c r="I44" t="s">
        <v>601</v>
      </c>
      <c r="J44" t="s">
        <v>281</v>
      </c>
      <c r="K44" t="s">
        <v>283</v>
      </c>
      <c r="L44" s="30">
        <f>IF(ISNA(INDEX('DO NOT OPEN'!D:D,MATCH(C44,'DO NOT OPEN'!A:A,0),0)),"No Stock",INDEX('DO NOT OPEN'!D:D,MATCH(C44,'DO NOT OPEN'!A:A,0),0))</f>
        <v>2</v>
      </c>
      <c r="M44" s="63" t="str">
        <f>HYPERLINK("http://www.sapphireav.com/Sapphire-Electric-Screen-Radio-Frequency-Viewing-Area-1463mm-x-1097mm-Approx-Case-Dimensions-L-1744mm-x-H-93mm-x-D-79mm_p_68.html", "Click for Web Link")</f>
        <v>Click for Web Link</v>
      </c>
      <c r="N44" s="100">
        <v>8.5</v>
      </c>
      <c r="O44" s="69">
        <v>12</v>
      </c>
      <c r="P44" t="s">
        <v>677</v>
      </c>
    </row>
    <row r="45" spans="1:16" x14ac:dyDescent="0.35">
      <c r="A45">
        <v>109</v>
      </c>
      <c r="C45" t="s">
        <v>139</v>
      </c>
      <c r="D45" s="86">
        <v>5060558503625</v>
      </c>
      <c r="E45" t="s">
        <v>242</v>
      </c>
      <c r="F45" t="s">
        <v>777</v>
      </c>
      <c r="G45" t="s">
        <v>259</v>
      </c>
      <c r="H45" s="25" t="s">
        <v>220</v>
      </c>
      <c r="I45" t="s">
        <v>601</v>
      </c>
      <c r="J45" t="s">
        <v>281</v>
      </c>
      <c r="K45" t="s">
        <v>283</v>
      </c>
      <c r="L45" s="30">
        <f>IF(ISNA(INDEX('DO NOT OPEN'!D:D,MATCH(C45,'DO NOT OPEN'!A:A,0),0)),"No Stock",INDEX('DO NOT OPEN'!D:D,MATCH(C45,'DO NOT OPEN'!A:A,0),0))</f>
        <v>2</v>
      </c>
      <c r="M45" s="63" t="str">
        <f>HYPERLINK("http://www.sapphireav.com/Sapphire-Electric-Screen-Radio-Frequency-Viewing-Area-1460mm-x-913mm-Approx-Case-Dimensions-L-1744mm-x-H-93mm-x-D-79mm_p_467.html", "Click for Web Link")</f>
        <v>Click for Web Link</v>
      </c>
      <c r="N45" s="100">
        <v>8.5</v>
      </c>
      <c r="O45" s="69">
        <v>12</v>
      </c>
    </row>
    <row r="46" spans="1:16" x14ac:dyDescent="0.35">
      <c r="A46">
        <v>111</v>
      </c>
      <c r="C46" t="s">
        <v>18</v>
      </c>
      <c r="D46" s="86">
        <v>5060558501362</v>
      </c>
      <c r="E46" t="s">
        <v>242</v>
      </c>
      <c r="F46" t="s">
        <v>777</v>
      </c>
      <c r="G46" t="s">
        <v>259</v>
      </c>
      <c r="H46" s="25" t="s">
        <v>219</v>
      </c>
      <c r="I46" t="s">
        <v>601</v>
      </c>
      <c r="J46" t="s">
        <v>282</v>
      </c>
      <c r="K46" t="s">
        <v>296</v>
      </c>
      <c r="L46" s="30">
        <f>IF(ISNA(INDEX('DO NOT OPEN'!D:D,MATCH(C46,'DO NOT OPEN'!A:A,0),0)),"No Stock",INDEX('DO NOT OPEN'!D:D,MATCH(C46,'DO NOT OPEN'!A:A,0),0))</f>
        <v>14</v>
      </c>
      <c r="M46" s="63" t="str">
        <f>HYPERLINK("http://www.sapphireav.com/Sapphire-Electric-Screen-Infra-Red-Viewing-Area-1460mm-x-821mm-Approx-Case-Dimensions-L-1744mm-x-H-93mm-x-D-79mm_p_69.html", "Click for Web Link")</f>
        <v>Click for Web Link</v>
      </c>
      <c r="N46" s="100">
        <v>8.5</v>
      </c>
      <c r="O46" s="69">
        <v>12</v>
      </c>
    </row>
    <row r="47" spans="1:16" x14ac:dyDescent="0.35">
      <c r="A47">
        <v>112</v>
      </c>
      <c r="C47" t="s">
        <v>214</v>
      </c>
      <c r="D47" s="86">
        <v>5060558501379</v>
      </c>
      <c r="E47" t="s">
        <v>242</v>
      </c>
      <c r="F47" t="s">
        <v>777</v>
      </c>
      <c r="G47" t="s">
        <v>259</v>
      </c>
      <c r="H47" s="25" t="s">
        <v>220</v>
      </c>
      <c r="I47" t="s">
        <v>601</v>
      </c>
      <c r="J47" t="s">
        <v>282</v>
      </c>
      <c r="K47" t="s">
        <v>296</v>
      </c>
      <c r="L47" s="30">
        <f>IF(ISNA(INDEX('DO NOT OPEN'!D:D,MATCH(C47,'DO NOT OPEN'!A:A,0),0)),"No Stock",INDEX('DO NOT OPEN'!D:D,MATCH(C47,'DO NOT OPEN'!A:A,0),0))</f>
        <v>5</v>
      </c>
      <c r="M47" s="63" t="str">
        <f>HYPERLINK("http://www.sapphireav.com/Sapphire-Electric-Screen-Infra-Red-Viewing-Area-1460mm-x-913mm-Approx-Case-Dimensions-L-1744mm-x-H-93mm-x-D-79mm_p_652.html", "Click for Web Link")</f>
        <v>Click for Web Link</v>
      </c>
      <c r="N47" s="100">
        <v>8.5</v>
      </c>
      <c r="O47" s="69">
        <v>12</v>
      </c>
    </row>
    <row r="48" spans="1:16" x14ac:dyDescent="0.35">
      <c r="A48">
        <v>113</v>
      </c>
      <c r="C48" s="23" t="s">
        <v>19</v>
      </c>
      <c r="D48" s="86">
        <v>5060558502147</v>
      </c>
      <c r="E48" t="s">
        <v>242</v>
      </c>
      <c r="F48" t="s">
        <v>777</v>
      </c>
      <c r="G48" t="s">
        <v>257</v>
      </c>
      <c r="H48" s="25" t="s">
        <v>218</v>
      </c>
      <c r="I48" t="s">
        <v>601</v>
      </c>
      <c r="J48" t="s">
        <v>282</v>
      </c>
      <c r="K48" t="s">
        <v>283</v>
      </c>
      <c r="L48" s="30">
        <f>IF(ISNA(INDEX('DO NOT OPEN'!D:D,MATCH(C48,'DO NOT OPEN'!A:A,0),0)),"No Stock",INDEX('DO NOT OPEN'!D:D,MATCH(C48,'DO NOT OPEN'!A:A,0),0))</f>
        <v>2</v>
      </c>
      <c r="M48" s="63" t="str">
        <f>HYPERLINK("http://www.sapphireav.com/Sapphire-Electric-Screen-Radio-Frequency-Viewing-Area-1707mm-x-1280mm-Approx-Case-Dimensions-L-1952mm-x-H-93mm-x-D-79mm_p_71.html", "Click for Web Link")</f>
        <v>Click for Web Link</v>
      </c>
      <c r="N48" s="100">
        <v>10.5</v>
      </c>
      <c r="O48" s="69">
        <v>12</v>
      </c>
    </row>
    <row r="49" spans="1:19" x14ac:dyDescent="0.35">
      <c r="A49">
        <v>115</v>
      </c>
      <c r="C49" s="23" t="s">
        <v>135</v>
      </c>
      <c r="D49" s="86">
        <v>5060558503601</v>
      </c>
      <c r="E49" t="s">
        <v>242</v>
      </c>
      <c r="F49" t="s">
        <v>777</v>
      </c>
      <c r="G49" t="s">
        <v>257</v>
      </c>
      <c r="H49" s="25" t="s">
        <v>219</v>
      </c>
      <c r="I49" t="s">
        <v>601</v>
      </c>
      <c r="J49" t="s">
        <v>282</v>
      </c>
      <c r="K49" t="s">
        <v>283</v>
      </c>
      <c r="L49" s="30">
        <f>IF(ISNA(INDEX('DO NOT OPEN'!D:D,MATCH(C49,'DO NOT OPEN'!A:A,0),0)),"No Stock",INDEX('DO NOT OPEN'!D:D,MATCH(C49,'DO NOT OPEN'!A:A,0),0))</f>
        <v>2</v>
      </c>
      <c r="M49" s="63" t="str">
        <f>HYPERLINK("http://www.sapphireav.com/Sapphire-Electric-Screen-Radio-Frequency-Viewing-Area-1074mm-x-958mm-Approx-Case-Dimensions-L-1952mm-x-H-93mm-x-D-79mm_p_462.html", "Click for Web Link")</f>
        <v>Click for Web Link</v>
      </c>
      <c r="N49" s="100">
        <v>10.5</v>
      </c>
      <c r="O49" s="69">
        <v>12</v>
      </c>
    </row>
    <row r="50" spans="1:19" x14ac:dyDescent="0.35">
      <c r="A50">
        <v>117</v>
      </c>
      <c r="C50" s="23" t="s">
        <v>136</v>
      </c>
      <c r="D50" s="86">
        <v>5060558503335</v>
      </c>
      <c r="E50" t="s">
        <v>242</v>
      </c>
      <c r="F50" t="s">
        <v>777</v>
      </c>
      <c r="G50" t="s">
        <v>257</v>
      </c>
      <c r="H50" s="25" t="s">
        <v>220</v>
      </c>
      <c r="I50" t="s">
        <v>601</v>
      </c>
      <c r="J50" t="s">
        <v>282</v>
      </c>
      <c r="K50" t="s">
        <v>283</v>
      </c>
      <c r="L50" s="30">
        <f>IF(ISNA(INDEX('DO NOT OPEN'!D:D,MATCH(C50,'DO NOT OPEN'!A:A,0),0)),"No Stock",INDEX('DO NOT OPEN'!D:D,MATCH(C50,'DO NOT OPEN'!A:A,0),0))</f>
        <v>2</v>
      </c>
      <c r="M50" s="63" t="str">
        <f>HYPERLINK("http://www.sapphireav.com/Sapphire-Electric-Screen-Radio-Frequency-Viewing-Area-1704mm-x-1065mm-Approx-Case-Dimensions-L-1952mm-x-H-93mm-x-D-79mm_p_463.html", "Click for Web Link")</f>
        <v>Click for Web Link</v>
      </c>
      <c r="N50" s="100">
        <v>10.5</v>
      </c>
      <c r="O50" s="69">
        <v>12</v>
      </c>
      <c r="S50" s="11"/>
    </row>
    <row r="51" spans="1:19" x14ac:dyDescent="0.35">
      <c r="A51">
        <v>119</v>
      </c>
      <c r="C51" s="23" t="s">
        <v>7</v>
      </c>
      <c r="D51" s="86">
        <v>5060558500990</v>
      </c>
      <c r="E51" t="s">
        <v>242</v>
      </c>
      <c r="F51" t="s">
        <v>777</v>
      </c>
      <c r="G51" t="s">
        <v>257</v>
      </c>
      <c r="H51" s="25" t="s">
        <v>218</v>
      </c>
      <c r="I51" t="s">
        <v>601</v>
      </c>
      <c r="J51" t="s">
        <v>282</v>
      </c>
      <c r="K51" t="s">
        <v>296</v>
      </c>
      <c r="L51" s="30">
        <f>IF(ISNA(INDEX('DO NOT OPEN'!D:D,MATCH(C51,'DO NOT OPEN'!A:A,0),0)),"No Stock",INDEX('DO NOT OPEN'!D:D,MATCH(C51,'DO NOT OPEN'!A:A,0),0))</f>
        <v>14</v>
      </c>
      <c r="M51" s="63" t="str">
        <f>HYPERLINK("http://www.sapphireav.com/Sapphire-Electric-Projection-Screen-With-Trigger-Viewing-Area-1707mm-x-1280mm-Approx-Case-Dimensions-L-1952mm-x-H-93mm-x-D-79mm_p_72.html", "Click for Web Link")</f>
        <v>Click for Web Link</v>
      </c>
      <c r="N51" s="100">
        <v>10.5</v>
      </c>
      <c r="O51" s="69">
        <v>12</v>
      </c>
      <c r="S51" s="11"/>
    </row>
    <row r="52" spans="1:19" x14ac:dyDescent="0.35">
      <c r="A52">
        <v>120</v>
      </c>
      <c r="C52" s="23" t="s">
        <v>147</v>
      </c>
      <c r="D52" s="86">
        <v>5060558503359</v>
      </c>
      <c r="E52" t="s">
        <v>242</v>
      </c>
      <c r="F52" t="s">
        <v>777</v>
      </c>
      <c r="G52" t="s">
        <v>257</v>
      </c>
      <c r="H52" s="25" t="s">
        <v>220</v>
      </c>
      <c r="I52" t="s">
        <v>601</v>
      </c>
      <c r="J52" t="s">
        <v>282</v>
      </c>
      <c r="K52" t="s">
        <v>284</v>
      </c>
      <c r="L52" s="30">
        <f>IF(ISNA(INDEX('DO NOT OPEN'!D:D,MATCH(C52,'DO NOT OPEN'!A:A,0),0)),"No Stock",INDEX('DO NOT OPEN'!D:D,MATCH(C52,'DO NOT OPEN'!A:A,0),0))</f>
        <v>12</v>
      </c>
      <c r="M52" s="63" t="str">
        <f>HYPERLINK("http://www.sapphireav.com/Sapphire-Electric-Screen-Infra-Red-Viewing-Area-1704mm-x-1065mm-Approx-Case-Dimensions-L-1952mm-x-H-93mm-x-D-79mm_p_493.html", "Click for Web Link")</f>
        <v>Click for Web Link</v>
      </c>
      <c r="N52" s="100">
        <v>10.5</v>
      </c>
      <c r="O52" s="69">
        <v>12</v>
      </c>
      <c r="S52" s="11"/>
    </row>
    <row r="53" spans="1:19" x14ac:dyDescent="0.35">
      <c r="A53">
        <v>121</v>
      </c>
      <c r="C53" s="23" t="s">
        <v>20</v>
      </c>
      <c r="D53" s="86">
        <v>5060558502154</v>
      </c>
      <c r="E53" t="s">
        <v>242</v>
      </c>
      <c r="F53" t="s">
        <v>777</v>
      </c>
      <c r="G53" t="s">
        <v>257</v>
      </c>
      <c r="H53" s="25" t="s">
        <v>219</v>
      </c>
      <c r="I53" t="s">
        <v>601</v>
      </c>
      <c r="J53" t="s">
        <v>282</v>
      </c>
      <c r="K53" t="s">
        <v>296</v>
      </c>
      <c r="L53" s="30">
        <f>IF(ISNA(INDEX('DO NOT OPEN'!D:D,MATCH(C53,'DO NOT OPEN'!A:A,0),0)),"No Stock",INDEX('DO NOT OPEN'!D:D,MATCH(C53,'DO NOT OPEN'!A:A,0),0))</f>
        <v>53</v>
      </c>
      <c r="M53" s="63" t="str">
        <f>HYPERLINK("http://www.sapphireav.com/Sapphire-Electric-Screen-with-Trigger-Viewing-Area-1704mm-x-958mm-Approx-Case-Dimensions-L-1952mm-x-H-93mm-x-D-79mm_p_75.html", "Click for Web Link")</f>
        <v>Click for Web Link</v>
      </c>
      <c r="N53" s="100">
        <v>10.5</v>
      </c>
      <c r="O53" s="69">
        <v>12</v>
      </c>
      <c r="S53" s="11"/>
    </row>
    <row r="54" spans="1:19" x14ac:dyDescent="0.35">
      <c r="A54">
        <v>122</v>
      </c>
      <c r="C54" s="23" t="s">
        <v>21</v>
      </c>
      <c r="D54" s="86">
        <v>5060558503342</v>
      </c>
      <c r="E54" t="s">
        <v>242</v>
      </c>
      <c r="F54" t="s">
        <v>777</v>
      </c>
      <c r="G54" t="s">
        <v>257</v>
      </c>
      <c r="H54" s="25" t="s">
        <v>220</v>
      </c>
      <c r="I54" t="s">
        <v>601</v>
      </c>
      <c r="J54" t="s">
        <v>282</v>
      </c>
      <c r="K54" t="s">
        <v>296</v>
      </c>
      <c r="L54" s="30">
        <f>IF(ISNA(INDEX('DO NOT OPEN'!D:D,MATCH(C54,'DO NOT OPEN'!A:A,0),0)),"No Stock",INDEX('DO NOT OPEN'!D:D,MATCH(C54,'DO NOT OPEN'!A:A,0),0))</f>
        <v>16</v>
      </c>
      <c r="M54" s="63" t="str">
        <f>HYPERLINK("http://www.sapphireav.com/Sapphire-Electric-Screen-with-Trigger-Viewing-Area-1704mm-x-1065mm-Approx-Case-Dimensions-L-1952mm-x-H-93mm-x-D-79mm_p_76.html", "Click for Web Link")</f>
        <v>Click for Web Link</v>
      </c>
      <c r="N54" s="100">
        <v>10.5</v>
      </c>
      <c r="O54" s="69">
        <v>12</v>
      </c>
      <c r="S54" s="11"/>
    </row>
    <row r="55" spans="1:19" x14ac:dyDescent="0.35">
      <c r="A55">
        <v>124</v>
      </c>
      <c r="C55" s="23" t="s">
        <v>172</v>
      </c>
      <c r="D55" s="86">
        <v>5060558502963</v>
      </c>
      <c r="E55" t="s">
        <v>242</v>
      </c>
      <c r="F55" t="s">
        <v>777</v>
      </c>
      <c r="G55" t="s">
        <v>257</v>
      </c>
      <c r="H55" s="25" t="s">
        <v>219</v>
      </c>
      <c r="I55" t="s">
        <v>673</v>
      </c>
      <c r="J55" t="s">
        <v>282</v>
      </c>
      <c r="K55" t="s">
        <v>296</v>
      </c>
      <c r="L55" s="30">
        <f>IF(ISNA(INDEX('DO NOT OPEN'!D:D,MATCH(C55,'DO NOT OPEN'!A:A,0),0)),"No Stock",INDEX('DO NOT OPEN'!D:D,MATCH(C55,'DO NOT OPEN'!A:A,0),0))</f>
        <v>3</v>
      </c>
      <c r="M55" s="63" t="str">
        <f>HYPERLINK("http://www.sapphireav.com/Sapphire-Electric-Acoustic-Transparent-Screen-Viewing-Area-1704mm-x-958mm-with-ATR-Approx-Case-Dimensions-L-1952mm-x-H-93mm-x-D-79mm_p_543.html", "Click for Web Link")</f>
        <v>Click for Web Link</v>
      </c>
      <c r="N55" s="100">
        <v>10.5</v>
      </c>
      <c r="O55" s="69">
        <v>12</v>
      </c>
      <c r="S55" s="11"/>
    </row>
    <row r="56" spans="1:19" x14ac:dyDescent="0.35">
      <c r="A56">
        <v>126</v>
      </c>
      <c r="C56" s="23" t="s">
        <v>22</v>
      </c>
      <c r="D56" s="86">
        <v>5060558502161</v>
      </c>
      <c r="E56" t="s">
        <v>242</v>
      </c>
      <c r="F56" t="s">
        <v>777</v>
      </c>
      <c r="G56" t="s">
        <v>256</v>
      </c>
      <c r="H56" s="25" t="s">
        <v>218</v>
      </c>
      <c r="I56" t="s">
        <v>601</v>
      </c>
      <c r="J56" t="s">
        <v>281</v>
      </c>
      <c r="K56" t="s">
        <v>283</v>
      </c>
      <c r="L56" s="30">
        <f>IF(ISNA(INDEX('DO NOT OPEN'!D:D,MATCH(C56,'DO NOT OPEN'!A:A,0),0)),"No Stock",INDEX('DO NOT OPEN'!D:D,MATCH(C56,'DO NOT OPEN'!A:A,0),0))</f>
        <v>2</v>
      </c>
      <c r="M56" s="63" t="str">
        <f>HYPERLINK("http://www.sapphireav.com/Sapphire-Electric-Screen-Radio-Control-2032mm-x-1524mm_p_78.html", "Click for Web Link")</f>
        <v>Click for Web Link</v>
      </c>
      <c r="N56" s="100">
        <v>12</v>
      </c>
      <c r="O56" s="69">
        <v>12</v>
      </c>
      <c r="S56" s="11"/>
    </row>
    <row r="57" spans="1:19" x14ac:dyDescent="0.35">
      <c r="A57">
        <v>136</v>
      </c>
      <c r="C57" s="23" t="s">
        <v>145</v>
      </c>
      <c r="D57" s="86">
        <v>5060558503366</v>
      </c>
      <c r="E57" t="s">
        <v>242</v>
      </c>
      <c r="F57" t="s">
        <v>777</v>
      </c>
      <c r="G57" t="s">
        <v>256</v>
      </c>
      <c r="H57" s="25" t="s">
        <v>220</v>
      </c>
      <c r="I57" t="s">
        <v>601</v>
      </c>
      <c r="J57" t="s">
        <v>281</v>
      </c>
      <c r="K57" t="s">
        <v>283</v>
      </c>
      <c r="L57" s="30">
        <f>IF(ISNA(INDEX('DO NOT OPEN'!D:D,MATCH(C57,'DO NOT OPEN'!A:A,0),0)),"No Stock",INDEX('DO NOT OPEN'!D:D,MATCH(C57,'DO NOT OPEN'!A:A,0),0))</f>
        <v>2</v>
      </c>
      <c r="M57" s="63" t="str">
        <f>HYPERLINK("http://www.sapphireav.com/Sapphire-Electric-Screen-Radio-Viewing-Area-2037mm-x-1273mm-Approx-Case-Dimensions-L-2354mm-x-H-93-x-D-79mm_p_488.html", "Click for Web Link")</f>
        <v>Click for Web Link</v>
      </c>
      <c r="N57" s="100">
        <v>12</v>
      </c>
      <c r="O57" s="69">
        <v>12</v>
      </c>
      <c r="P57" t="s">
        <v>677</v>
      </c>
      <c r="S57" s="11"/>
    </row>
    <row r="58" spans="1:19" x14ac:dyDescent="0.35">
      <c r="A58">
        <v>137</v>
      </c>
      <c r="C58" s="23" t="s">
        <v>144</v>
      </c>
      <c r="D58" s="86">
        <v>5060558503526</v>
      </c>
      <c r="E58" t="s">
        <v>242</v>
      </c>
      <c r="F58" t="s">
        <v>777</v>
      </c>
      <c r="G58" t="s">
        <v>256</v>
      </c>
      <c r="H58" s="25" t="s">
        <v>219</v>
      </c>
      <c r="I58" t="s">
        <v>601</v>
      </c>
      <c r="J58" t="s">
        <v>281</v>
      </c>
      <c r="K58" t="s">
        <v>283</v>
      </c>
      <c r="L58" s="30">
        <f>IF(ISNA(INDEX('DO NOT OPEN'!D:D,MATCH(C58,'DO NOT OPEN'!A:A,0),0)),"No Stock",INDEX('DO NOT OPEN'!D:D,MATCH(C58,'DO NOT OPEN'!A:A,0),0))</f>
        <v>2</v>
      </c>
      <c r="M58" s="63" t="str">
        <f>HYPERLINK("http://www.sapphireav.com/Sapphire-Electric-Screen-Radio-Frequency-Viewing-Area-2037mm-x-1145mm-Approx-Case-Dimensions-L-2354mm-x-H-93-x-D-79mm_p_487.html", "Click for Web Link")</f>
        <v>Click for Web Link</v>
      </c>
      <c r="N58" s="100">
        <v>12</v>
      </c>
      <c r="O58" s="69">
        <v>12</v>
      </c>
      <c r="S58" s="11"/>
    </row>
    <row r="59" spans="1:19" x14ac:dyDescent="0.35">
      <c r="A59">
        <v>140</v>
      </c>
      <c r="C59" s="23" t="s">
        <v>23</v>
      </c>
      <c r="D59" s="86">
        <v>5060558501058</v>
      </c>
      <c r="E59" t="s">
        <v>242</v>
      </c>
      <c r="F59" t="s">
        <v>777</v>
      </c>
      <c r="G59" t="s">
        <v>256</v>
      </c>
      <c r="H59" s="25" t="s">
        <v>218</v>
      </c>
      <c r="I59" t="s">
        <v>601</v>
      </c>
      <c r="J59" t="s">
        <v>282</v>
      </c>
      <c r="K59" t="s">
        <v>296</v>
      </c>
      <c r="L59" s="30">
        <f>IF(ISNA(INDEX('DO NOT OPEN'!D:D,MATCH(C59,'DO NOT OPEN'!A:A,0),0)),"No Stock",INDEX('DO NOT OPEN'!D:D,MATCH(C59,'DO NOT OPEN'!A:A,0),0))</f>
        <v>17</v>
      </c>
      <c r="M59" s="63" t="str">
        <f>HYPERLINK("http://www.sapphireav.com/Sapphire-Electric-Screen-with-Trigger-Viewing-Area-2030mm-x-1524mm-Approx-Case-Dimensions-L-2354mm-x-H-93-x-D-79mm_p_80.html", "Click for Web Link")</f>
        <v>Click for Web Link</v>
      </c>
      <c r="N59" s="100">
        <v>12</v>
      </c>
      <c r="O59" s="69">
        <v>12</v>
      </c>
      <c r="S59" s="11"/>
    </row>
    <row r="60" spans="1:19" x14ac:dyDescent="0.35">
      <c r="A60">
        <v>141</v>
      </c>
      <c r="C60" s="23" t="s">
        <v>26</v>
      </c>
      <c r="D60" s="86">
        <v>5060558502178</v>
      </c>
      <c r="E60" t="s">
        <v>242</v>
      </c>
      <c r="F60" t="s">
        <v>777</v>
      </c>
      <c r="G60" t="s">
        <v>256</v>
      </c>
      <c r="H60" s="25" t="s">
        <v>219</v>
      </c>
      <c r="I60" t="s">
        <v>601</v>
      </c>
      <c r="J60" t="s">
        <v>282</v>
      </c>
      <c r="K60" t="s">
        <v>296</v>
      </c>
      <c r="L60" s="30">
        <f>IF(ISNA(INDEX('DO NOT OPEN'!D:D,MATCH(C60,'DO NOT OPEN'!A:A,0),0)),"No Stock",INDEX('DO NOT OPEN'!D:D,MATCH(C60,'DO NOT OPEN'!A:A,0),0))</f>
        <v>71</v>
      </c>
      <c r="M60" s="63" t="str">
        <f>HYPERLINK("http://www.sapphireav.com/Sapphire-Electric-Screen-with-Trigger-Viewing-Area-2037mm-x-1145mm-Approx-Case-Dimensions-L-2354mm-x-H-93-x-D-79mm_p_83.html", "Click for Web Link")</f>
        <v>Click for Web Link</v>
      </c>
      <c r="N60" s="100">
        <v>11.8</v>
      </c>
      <c r="O60" s="69">
        <v>12</v>
      </c>
      <c r="S60" s="11"/>
    </row>
    <row r="61" spans="1:19" x14ac:dyDescent="0.35">
      <c r="A61">
        <v>142</v>
      </c>
      <c r="C61" s="23" t="s">
        <v>148</v>
      </c>
      <c r="D61" s="86">
        <v>5060558503373</v>
      </c>
      <c r="E61" t="s">
        <v>242</v>
      </c>
      <c r="F61" t="s">
        <v>777</v>
      </c>
      <c r="G61" t="s">
        <v>256</v>
      </c>
      <c r="H61" s="25" t="s">
        <v>220</v>
      </c>
      <c r="I61" t="s">
        <v>601</v>
      </c>
      <c r="J61" t="s">
        <v>282</v>
      </c>
      <c r="K61" t="s">
        <v>296</v>
      </c>
      <c r="L61" s="30">
        <f>IF(ISNA(INDEX('DO NOT OPEN'!D:D,MATCH(C61,'DO NOT OPEN'!A:A,0),0)),"No Stock",INDEX('DO NOT OPEN'!D:D,MATCH(C61,'DO NOT OPEN'!A:A,0),0))</f>
        <v>58</v>
      </c>
      <c r="M61" s="63" t="str">
        <f>HYPERLINK("http://www.sapphireav.com/Sapphire-Electric-Screen-with-Trigger-Viewing-Area-2037mm-x-1273mm-Approx-Case-Dimensions-L-2354mm-x-H-93-x-D-79mm_p_494.html", "Click for Web Link")</f>
        <v>Click for Web Link</v>
      </c>
      <c r="N61" s="100">
        <v>11.8</v>
      </c>
      <c r="O61" s="69">
        <v>12</v>
      </c>
      <c r="S61" s="11"/>
    </row>
    <row r="62" spans="1:19" x14ac:dyDescent="0.35">
      <c r="A62">
        <v>144</v>
      </c>
      <c r="C62" s="23" t="s">
        <v>173</v>
      </c>
      <c r="D62" s="86">
        <v>5060558502970</v>
      </c>
      <c r="E62" t="s">
        <v>242</v>
      </c>
      <c r="F62" t="s">
        <v>777</v>
      </c>
      <c r="G62" t="s">
        <v>256</v>
      </c>
      <c r="H62" s="25" t="s">
        <v>219</v>
      </c>
      <c r="I62" t="s">
        <v>673</v>
      </c>
      <c r="J62" t="s">
        <v>282</v>
      </c>
      <c r="K62" t="s">
        <v>296</v>
      </c>
      <c r="L62" s="30">
        <f>IF(ISNA(INDEX('DO NOT OPEN'!D:D,MATCH(C62,'DO NOT OPEN'!A:A,0),0)),"No Stock",INDEX('DO NOT OPEN'!D:D,MATCH(C62,'DO NOT OPEN'!A:A,0),0))</f>
        <v>3</v>
      </c>
      <c r="M62" s="63" t="str">
        <f>HYPERLINK("http://www.sapphireav.com/Sapphire-Electric-Acoustic-Transparent-Screen-Viewing-Area-2037mm-x-1145mm-with-ATR-Approx-Case-Dimensions-L-2354mm-x-H-93-x-D-79mm_p_544.html", "Click for Web Link")</f>
        <v>Click for Web Link</v>
      </c>
      <c r="N62" s="100">
        <v>11.8</v>
      </c>
      <c r="O62" s="69">
        <v>12</v>
      </c>
      <c r="S62" s="11"/>
    </row>
    <row r="63" spans="1:19" x14ac:dyDescent="0.35">
      <c r="A63">
        <v>145</v>
      </c>
      <c r="C63" s="23" t="s">
        <v>27</v>
      </c>
      <c r="D63" s="86">
        <v>5060558502185</v>
      </c>
      <c r="E63" t="s">
        <v>242</v>
      </c>
      <c r="F63" t="s">
        <v>777</v>
      </c>
      <c r="G63" t="s">
        <v>255</v>
      </c>
      <c r="H63" s="25" t="s">
        <v>218</v>
      </c>
      <c r="I63" t="s">
        <v>601</v>
      </c>
      <c r="J63" t="s">
        <v>281</v>
      </c>
      <c r="K63" t="s">
        <v>283</v>
      </c>
      <c r="L63" s="30">
        <f>IF(ISNA(INDEX('DO NOT OPEN'!D:D,MATCH(C63,'DO NOT OPEN'!A:A,0),0)),"No Stock",INDEX('DO NOT OPEN'!D:D,MATCH(C63,'DO NOT OPEN'!A:A,0),0))</f>
        <v>2</v>
      </c>
      <c r="M63" s="63" t="str">
        <f>HYPERLINK("http://www.sapphireav.com/Sapphire-Electric-Screen-Radio-Frequency-2400mm-x-1800mm-Approx-Case-Dimensions-L-2724mm-x-H-93mm-x-D-79mm_p_84.html", "Click for Web Link")</f>
        <v>Click for Web Link</v>
      </c>
      <c r="N63" s="100">
        <v>14.7</v>
      </c>
      <c r="O63" s="69">
        <v>12</v>
      </c>
      <c r="S63" s="11"/>
    </row>
    <row r="64" spans="1:19" x14ac:dyDescent="0.35">
      <c r="A64">
        <v>146</v>
      </c>
      <c r="C64" s="23" t="s">
        <v>146</v>
      </c>
      <c r="D64" s="86">
        <v>5060558503649</v>
      </c>
      <c r="E64" t="s">
        <v>242</v>
      </c>
      <c r="F64" t="s">
        <v>777</v>
      </c>
      <c r="G64" t="s">
        <v>255</v>
      </c>
      <c r="H64" s="25" t="s">
        <v>219</v>
      </c>
      <c r="I64" t="s">
        <v>601</v>
      </c>
      <c r="J64" t="s">
        <v>281</v>
      </c>
      <c r="K64" t="s">
        <v>283</v>
      </c>
      <c r="L64" s="30">
        <f>IF(ISNA(INDEX('DO NOT OPEN'!D:D,MATCH(C64,'DO NOT OPEN'!A:A,0),0)),"No Stock",INDEX('DO NOT OPEN'!D:D,MATCH(C64,'DO NOT OPEN'!A:A,0),0))</f>
        <v>2</v>
      </c>
      <c r="M64" s="63" t="str">
        <f>HYPERLINK("http://www.sapphireav.com/Sapphire-Electric-Screen-Radio-Frequency-Viewing-Area-2346mm-x-1319mm_p_492.html", "Click for Web Link")</f>
        <v>Click for Web Link</v>
      </c>
      <c r="N64" s="100">
        <v>14.7</v>
      </c>
      <c r="O64" s="69">
        <v>12</v>
      </c>
      <c r="S64" s="11"/>
    </row>
    <row r="65" spans="1:19" x14ac:dyDescent="0.35">
      <c r="A65">
        <v>149</v>
      </c>
      <c r="C65" s="23" t="s">
        <v>149</v>
      </c>
      <c r="D65" s="86">
        <v>5060558503380</v>
      </c>
      <c r="E65" t="s">
        <v>242</v>
      </c>
      <c r="F65" t="s">
        <v>777</v>
      </c>
      <c r="G65" t="s">
        <v>255</v>
      </c>
      <c r="H65" s="25" t="s">
        <v>220</v>
      </c>
      <c r="I65" t="s">
        <v>601</v>
      </c>
      <c r="J65" t="s">
        <v>281</v>
      </c>
      <c r="K65" t="s">
        <v>283</v>
      </c>
      <c r="L65" s="30">
        <f>IF(ISNA(INDEX('DO NOT OPEN'!D:D,MATCH(C65,'DO NOT OPEN'!A:A,0),0)),"No Stock",INDEX('DO NOT OPEN'!D:D,MATCH(C65,'DO NOT OPEN'!A:A,0),0))</f>
        <v>2</v>
      </c>
      <c r="M65" s="63" t="str">
        <f>HYPERLINK("http://www.sapphireav.com/Sapphire-Electric-Screen-Radio-Frequency-Viewing-Area-2346mm-x-1466mm-Approx-Case-Dimensions-L-2658mm-x-H-96mm-x-D-91mm_p_495.html", "Click for Web Link")</f>
        <v>Click for Web Link</v>
      </c>
      <c r="N65" s="100">
        <v>14.7</v>
      </c>
      <c r="O65" s="69">
        <v>12</v>
      </c>
      <c r="S65" s="11"/>
    </row>
    <row r="66" spans="1:19" x14ac:dyDescent="0.35">
      <c r="A66">
        <v>153</v>
      </c>
      <c r="C66" s="23" t="s">
        <v>28</v>
      </c>
      <c r="D66" s="86">
        <v>5060558501072</v>
      </c>
      <c r="E66" t="s">
        <v>242</v>
      </c>
      <c r="F66" t="s">
        <v>777</v>
      </c>
      <c r="G66" t="s">
        <v>255</v>
      </c>
      <c r="H66" s="25" t="s">
        <v>218</v>
      </c>
      <c r="I66" t="s">
        <v>601</v>
      </c>
      <c r="J66" t="s">
        <v>282</v>
      </c>
      <c r="K66" t="s">
        <v>296</v>
      </c>
      <c r="L66" s="30">
        <f>IF(ISNA(INDEX('DO NOT OPEN'!D:D,MATCH(C66,'DO NOT OPEN'!A:A,0),0)),"No Stock",INDEX('DO NOT OPEN'!D:D,MATCH(C66,'DO NOT OPEN'!A:A,0),0))</f>
        <v>12</v>
      </c>
      <c r="M66" s="63" t="str">
        <f>HYPERLINK("http://www.sapphireav.com/Sapphire-Electric-Screen-with-Trigger-Viewing-Area-2400mm-x-1800mm-Approx-Case-Dimensions-L-2724mm-x-H-96mm-x-D-91mm_p_85.html", "Click for Web Link")</f>
        <v>Click for Web Link</v>
      </c>
      <c r="N66" s="100">
        <v>14.7</v>
      </c>
      <c r="O66" s="69">
        <v>12</v>
      </c>
      <c r="S66" s="11"/>
    </row>
    <row r="67" spans="1:19" x14ac:dyDescent="0.35">
      <c r="A67">
        <v>156</v>
      </c>
      <c r="C67" s="23" t="s">
        <v>29</v>
      </c>
      <c r="D67" s="86">
        <v>5060558502192</v>
      </c>
      <c r="E67" t="s">
        <v>242</v>
      </c>
      <c r="F67" t="s">
        <v>777</v>
      </c>
      <c r="G67" t="s">
        <v>255</v>
      </c>
      <c r="H67" s="25" t="s">
        <v>219</v>
      </c>
      <c r="I67" t="s">
        <v>601</v>
      </c>
      <c r="J67" t="s">
        <v>282</v>
      </c>
      <c r="K67" t="s">
        <v>296</v>
      </c>
      <c r="L67" s="30">
        <f>IF(ISNA(INDEX('DO NOT OPEN'!D:D,MATCH(C67,'DO NOT OPEN'!A:A,0),0)),"No Stock",INDEX('DO NOT OPEN'!D:D,MATCH(C67,'DO NOT OPEN'!A:A,0),0))</f>
        <v>142</v>
      </c>
      <c r="M67" s="63" t="str">
        <f>HYPERLINK("http://www.sapphireav.com/Sapphire-Electric-Screen-with-Trigger-Viewing-Area-2346mm-x-1319mm-Approx-Case-Dimensions-L-2658mm-x-H-96mm-x-D-91mm_p_88.html", "Click for Web Link")</f>
        <v>Click for Web Link</v>
      </c>
      <c r="N67" s="100">
        <v>14.7</v>
      </c>
      <c r="O67" s="69">
        <v>12</v>
      </c>
      <c r="S67" s="11"/>
    </row>
    <row r="68" spans="1:19" x14ac:dyDescent="0.35">
      <c r="A68">
        <v>158</v>
      </c>
      <c r="C68" s="23" t="s">
        <v>31</v>
      </c>
      <c r="D68" s="86">
        <v>5060558503397</v>
      </c>
      <c r="E68" t="s">
        <v>242</v>
      </c>
      <c r="F68" t="s">
        <v>777</v>
      </c>
      <c r="G68" t="s">
        <v>255</v>
      </c>
      <c r="H68" s="25" t="s">
        <v>220</v>
      </c>
      <c r="I68" t="s">
        <v>601</v>
      </c>
      <c r="J68" t="s">
        <v>282</v>
      </c>
      <c r="K68" t="s">
        <v>296</v>
      </c>
      <c r="L68" s="30">
        <f>IF(ISNA(INDEX('DO NOT OPEN'!D:D,MATCH(C68,'DO NOT OPEN'!A:A,0),0)),"No Stock",INDEX('DO NOT OPEN'!D:D,MATCH(C68,'DO NOT OPEN'!A:A,0),0))</f>
        <v>79</v>
      </c>
      <c r="M68" s="63" t="str">
        <f>HYPERLINK("http://www.sapphireav.com/Sapphire-Electric-Screen-Infra-Red-Viewing-Area-2346mm-x-1466mm-Approx-Case-Dimensions-L-2658mm-x-H-96mm-x-D-91mm_p_89.html", "Click for Web Link")</f>
        <v>Click for Web Link</v>
      </c>
      <c r="N68" s="100">
        <v>14.7</v>
      </c>
      <c r="O68" s="69">
        <v>12</v>
      </c>
      <c r="S68" s="11"/>
    </row>
    <row r="69" spans="1:19" x14ac:dyDescent="0.35">
      <c r="A69">
        <v>160</v>
      </c>
      <c r="C69" s="23" t="s">
        <v>174</v>
      </c>
      <c r="D69" s="86">
        <v>5060558502987</v>
      </c>
      <c r="E69" t="s">
        <v>242</v>
      </c>
      <c r="F69" t="s">
        <v>777</v>
      </c>
      <c r="G69" t="s">
        <v>255</v>
      </c>
      <c r="H69" s="25" t="s">
        <v>219</v>
      </c>
      <c r="I69" t="s">
        <v>673</v>
      </c>
      <c r="J69" t="s">
        <v>282</v>
      </c>
      <c r="K69" t="s">
        <v>296</v>
      </c>
      <c r="L69" s="30">
        <f>IF(ISNA(INDEX('DO NOT OPEN'!D:D,MATCH(C69,'DO NOT OPEN'!A:A,0),0)),"No Stock",INDEX('DO NOT OPEN'!D:D,MATCH(C69,'DO NOT OPEN'!A:A,0),0))</f>
        <v>6</v>
      </c>
      <c r="M69" s="63" t="str">
        <f>HYPERLINK("http://www.sapphireav.com/Sapphire-Electric-Acoustic-Transparent-Screen-Viewing-Area-2346mm-x-1319mm-with-ATR-Approx-Case-Dimensions-L-2658mm-x-H-96mm-x-D-91mm_p_545.html", "Click for Web Link")</f>
        <v>Click for Web Link</v>
      </c>
      <c r="N69" s="100">
        <v>14.7</v>
      </c>
      <c r="O69" s="69">
        <v>12</v>
      </c>
      <c r="S69" s="11"/>
    </row>
    <row r="70" spans="1:19" x14ac:dyDescent="0.35">
      <c r="A70">
        <v>161</v>
      </c>
      <c r="C70" s="23" t="s">
        <v>196</v>
      </c>
      <c r="D70" s="86">
        <v>5060558504011</v>
      </c>
      <c r="E70" t="s">
        <v>242</v>
      </c>
      <c r="F70" t="s">
        <v>777</v>
      </c>
      <c r="G70" t="s">
        <v>286</v>
      </c>
      <c r="H70" s="25" t="s">
        <v>218</v>
      </c>
      <c r="I70" t="s">
        <v>601</v>
      </c>
      <c r="J70" t="s">
        <v>282</v>
      </c>
      <c r="K70" t="s">
        <v>283</v>
      </c>
      <c r="L70" s="30">
        <f>IF(ISNA(INDEX('DO NOT OPEN'!D:D,MATCH(C70,'DO NOT OPEN'!A:A,0),0)),"No Stock",INDEX('DO NOT OPEN'!D:D,MATCH(C70,'DO NOT OPEN'!A:A,0),0))</f>
        <v>2</v>
      </c>
      <c r="M70" s="63" t="str">
        <f>HYPERLINK("http://www.sapphireav.com/-Viewing-Area-2703mm-x-2027mm-Sapphire-Electric-Screen-43-Format-Approx-Case-Dimensions-L-2953mm-x-H-126mm-x-D-120mm_p_573.html", "Click for Web Link")</f>
        <v>Click for Web Link</v>
      </c>
      <c r="N70" s="100">
        <v>26</v>
      </c>
      <c r="O70" s="69">
        <v>15</v>
      </c>
      <c r="S70" s="11"/>
    </row>
    <row r="71" spans="1:19" x14ac:dyDescent="0.35">
      <c r="A71">
        <v>162</v>
      </c>
      <c r="C71" s="23" t="s">
        <v>159</v>
      </c>
      <c r="D71" s="86">
        <v>5060558503403</v>
      </c>
      <c r="E71" t="s">
        <v>242</v>
      </c>
      <c r="F71" t="s">
        <v>777</v>
      </c>
      <c r="G71" t="s">
        <v>286</v>
      </c>
      <c r="H71" s="25" t="s">
        <v>218</v>
      </c>
      <c r="I71" t="s">
        <v>601</v>
      </c>
      <c r="J71" t="s">
        <v>282</v>
      </c>
      <c r="K71" t="s">
        <v>296</v>
      </c>
      <c r="L71" s="30">
        <f>IF(ISNA(INDEX('DO NOT OPEN'!D:D,MATCH(C71,'DO NOT OPEN'!A:A,0),0)),"No Stock",INDEX('DO NOT OPEN'!D:D,MATCH(C71,'DO NOT OPEN'!A:A,0),0))</f>
        <v>12</v>
      </c>
      <c r="M71" s="63" t="str">
        <f>HYPERLINK("http://www.sapphireav.com/Sapphire-Electric-Screen-with-Trigger-2700mm-x-2027mm-Approx-Case-Dimensions-L-2953mm-x-H-126mm-x-D-120mm_p_518.html", "Click for Web Link")</f>
        <v>Click for Web Link</v>
      </c>
      <c r="N71" s="100">
        <v>26</v>
      </c>
      <c r="O71" s="69">
        <v>15</v>
      </c>
      <c r="S71" s="11"/>
    </row>
    <row r="72" spans="1:19" x14ac:dyDescent="0.35">
      <c r="A72">
        <v>165</v>
      </c>
      <c r="C72" s="23" t="s">
        <v>160</v>
      </c>
      <c r="D72" s="86">
        <v>5060558503410</v>
      </c>
      <c r="E72" t="s">
        <v>242</v>
      </c>
      <c r="F72" t="s">
        <v>777</v>
      </c>
      <c r="G72" t="s">
        <v>258</v>
      </c>
      <c r="H72" s="25" t="s">
        <v>219</v>
      </c>
      <c r="I72" t="s">
        <v>601</v>
      </c>
      <c r="J72" t="s">
        <v>282</v>
      </c>
      <c r="K72" t="s">
        <v>296</v>
      </c>
      <c r="L72" s="30">
        <f>IF(ISNA(INDEX('DO NOT OPEN'!D:D,MATCH(C72,'DO NOT OPEN'!A:A,0),0)),"No Stock",INDEX('DO NOT OPEN'!D:D,MATCH(C72,'DO NOT OPEN'!A:A,0),0))</f>
        <v>50</v>
      </c>
      <c r="M72" s="63" t="str">
        <f>HYPERLINK("http://www.sapphireav.com/Sapphire-Electric-Screen-with-Trigger-Viewing-Area-2701mm-x-1518mm-Approx-Case-Dimensions-L-2953mm-x-H-126mm-x-D-120mm_p_519.html", "Click for Web Link")</f>
        <v>Click for Web Link</v>
      </c>
      <c r="N72" s="100">
        <v>26</v>
      </c>
      <c r="O72" s="69">
        <v>15</v>
      </c>
      <c r="S72" s="11"/>
    </row>
    <row r="73" spans="1:19" x14ac:dyDescent="0.35">
      <c r="A73">
        <v>171</v>
      </c>
      <c r="C73" s="23" t="s">
        <v>188</v>
      </c>
      <c r="D73" s="86">
        <v>5060558501065</v>
      </c>
      <c r="E73" t="s">
        <v>242</v>
      </c>
      <c r="F73" t="s">
        <v>777</v>
      </c>
      <c r="G73" t="s">
        <v>258</v>
      </c>
      <c r="H73" s="25" t="s">
        <v>220</v>
      </c>
      <c r="I73" t="s">
        <v>601</v>
      </c>
      <c r="J73" t="s">
        <v>282</v>
      </c>
      <c r="K73" t="s">
        <v>296</v>
      </c>
      <c r="L73" s="30">
        <f>IF(ISNA(INDEX('DO NOT OPEN'!D:D,MATCH(C73,'DO NOT OPEN'!A:A,0),0)),"No Stock",INDEX('DO NOT OPEN'!D:D,MATCH(C73,'DO NOT OPEN'!A:A,0),0))</f>
        <v>47</v>
      </c>
      <c r="M73" s="63" t="str">
        <f>HYPERLINK("http://www.sapphireav.com/Sapphire-Electric-Screen-with-Trigger-Viewing-Area-2701mm-x-1687mm-Approx-Case-Dimensions-L-2953mm-x-H-126mm-x-D-120mm_p_563.html", "Click for Web Link")</f>
        <v>Click for Web Link</v>
      </c>
      <c r="N73" s="100">
        <v>26</v>
      </c>
      <c r="O73" s="69">
        <v>15</v>
      </c>
      <c r="S73" s="11"/>
    </row>
    <row r="74" spans="1:19" x14ac:dyDescent="0.35">
      <c r="A74">
        <v>176</v>
      </c>
      <c r="C74" s="23" t="s">
        <v>33</v>
      </c>
      <c r="D74" s="86">
        <v>5060558501034</v>
      </c>
      <c r="E74" t="s">
        <v>242</v>
      </c>
      <c r="F74" t="s">
        <v>777</v>
      </c>
      <c r="G74" t="s">
        <v>262</v>
      </c>
      <c r="H74" s="25" t="s">
        <v>239</v>
      </c>
      <c r="I74" t="s">
        <v>601</v>
      </c>
      <c r="J74" t="s">
        <v>281</v>
      </c>
      <c r="K74" t="s">
        <v>283</v>
      </c>
      <c r="L74" s="30">
        <f>IF(ISNA(INDEX('DO NOT OPEN'!D:D,MATCH(C74,'DO NOT OPEN'!A:A,0),0)),"No Stock",INDEX('DO NOT OPEN'!D:D,MATCH(C74,'DO NOT OPEN'!A:A,0),0))</f>
        <v>0</v>
      </c>
      <c r="M74" s="63" t="str">
        <f>HYPERLINK("http://www.sapphireav.com/Sapphire-Electric-Screen-Radio-Frequency-Viewing-Area-3050mm-x-3050mm-Approx-Case-Dimensions-L-3367mm-x-H-126mm-x-D-120mm_p_91.html", "Click for Web Link")</f>
        <v>Click for Web Link</v>
      </c>
      <c r="N74" s="100">
        <v>29.4</v>
      </c>
      <c r="O74" s="69">
        <v>30</v>
      </c>
      <c r="S74" s="11"/>
    </row>
    <row r="75" spans="1:19" x14ac:dyDescent="0.35">
      <c r="A75">
        <v>193</v>
      </c>
      <c r="C75" s="23" t="s">
        <v>8</v>
      </c>
      <c r="D75" s="86">
        <v>5060558502208</v>
      </c>
      <c r="E75" t="s">
        <v>242</v>
      </c>
      <c r="F75" t="s">
        <v>777</v>
      </c>
      <c r="G75" t="s">
        <v>262</v>
      </c>
      <c r="H75" s="25" t="s">
        <v>218</v>
      </c>
      <c r="I75" t="s">
        <v>601</v>
      </c>
      <c r="J75" t="s">
        <v>281</v>
      </c>
      <c r="K75" t="s">
        <v>283</v>
      </c>
      <c r="L75" s="30">
        <f>IF(ISNA(INDEX('DO NOT OPEN'!D:D,MATCH(C75,'DO NOT OPEN'!A:A,0),0)),"No Stock",INDEX('DO NOT OPEN'!D:D,MATCH(C75,'DO NOT OPEN'!A:A,0),0))</f>
        <v>23</v>
      </c>
      <c r="M75" s="63" t="str">
        <f>HYPERLINK("http://www.sapphireav.com/Sapphire-Electric-Screen-Radio-Frequency-Viewing-Area-3050mm-x-2286mm-Approx-Case-Dimensions-L-3367mm-x-H-126mm-x-D-120mm_p_27.html", "Click for Web Link")</f>
        <v>Click for Web Link</v>
      </c>
      <c r="N75" s="100">
        <v>24.8</v>
      </c>
      <c r="O75" s="69">
        <v>30</v>
      </c>
      <c r="S75" s="11"/>
    </row>
    <row r="76" spans="1:19" x14ac:dyDescent="0.35">
      <c r="A76">
        <v>223</v>
      </c>
      <c r="C76" s="23" t="s">
        <v>34</v>
      </c>
      <c r="D76" s="86">
        <v>5060558502215</v>
      </c>
      <c r="E76" t="s">
        <v>242</v>
      </c>
      <c r="F76" t="s">
        <v>777</v>
      </c>
      <c r="G76" t="s">
        <v>262</v>
      </c>
      <c r="H76" s="25" t="s">
        <v>219</v>
      </c>
      <c r="I76" t="s">
        <v>601</v>
      </c>
      <c r="J76" t="s">
        <v>281</v>
      </c>
      <c r="K76" t="s">
        <v>283</v>
      </c>
      <c r="L76" s="30">
        <f>IF(ISNA(INDEX('DO NOT OPEN'!D:D,MATCH(C76,'DO NOT OPEN'!A:A,0),0)),"No Stock",INDEX('DO NOT OPEN'!D:D,MATCH(C76,'DO NOT OPEN'!A:A,0),0))</f>
        <v>5</v>
      </c>
      <c r="M76" s="63" t="str">
        <f>HYPERLINK("http://www.sapphireav.com/Sapphire-Electric-Screen-Radio-Frequency-Viewing-Area-3010mm-x-1693mm-Approx-Case-Dimensions-L-3330mm-x-H-126mm-x-D-120mm_p_92.html", "Click for Web Link")</f>
        <v>Click for Web Link</v>
      </c>
      <c r="N76" s="100">
        <v>24.8</v>
      </c>
      <c r="O76" s="69">
        <v>30</v>
      </c>
      <c r="S76" s="11"/>
    </row>
    <row r="77" spans="1:19" x14ac:dyDescent="0.35">
      <c r="A77">
        <v>224</v>
      </c>
      <c r="C77" s="23" t="s">
        <v>129</v>
      </c>
      <c r="D77" s="86">
        <v>5060558503427</v>
      </c>
      <c r="E77" t="s">
        <v>242</v>
      </c>
      <c r="F77" t="s">
        <v>777</v>
      </c>
      <c r="G77" t="s">
        <v>262</v>
      </c>
      <c r="H77" s="25" t="s">
        <v>220</v>
      </c>
      <c r="I77" t="s">
        <v>601</v>
      </c>
      <c r="J77" t="s">
        <v>281</v>
      </c>
      <c r="K77" t="s">
        <v>283</v>
      </c>
      <c r="L77" s="30">
        <f>IF(ISNA(INDEX('DO NOT OPEN'!D:D,MATCH(C77,'DO NOT OPEN'!A:A,0),0)),"No Stock",INDEX('DO NOT OPEN'!D:D,MATCH(C77,'DO NOT OPEN'!A:A,0),0))</f>
        <v>102</v>
      </c>
      <c r="M77" s="63" t="str">
        <f>HYPERLINK("http://www.sapphireav.com/Sapphire-Electric-Screen-Radio-Frequency-Viewing-Area-3010-x-1881mm-Approx-Case-Dimensions-L-3330mm-x-H-126mm-x-D-120mm_p_465.html", "Click for Web Link")</f>
        <v>Click for Web Link</v>
      </c>
      <c r="N77" s="100">
        <v>24.8</v>
      </c>
      <c r="O77" s="69">
        <v>30</v>
      </c>
      <c r="S77" s="11"/>
    </row>
    <row r="78" spans="1:19" x14ac:dyDescent="0.35">
      <c r="A78">
        <v>227</v>
      </c>
      <c r="C78" s="23" t="s">
        <v>35</v>
      </c>
      <c r="D78" s="86">
        <v>5060558502222</v>
      </c>
      <c r="E78" t="s">
        <v>242</v>
      </c>
      <c r="F78" t="s">
        <v>777</v>
      </c>
      <c r="G78" t="s">
        <v>261</v>
      </c>
      <c r="H78" s="25" t="s">
        <v>218</v>
      </c>
      <c r="I78" t="s">
        <v>601</v>
      </c>
      <c r="J78" t="s">
        <v>281</v>
      </c>
      <c r="K78" t="s">
        <v>283</v>
      </c>
      <c r="L78" s="30">
        <f>IF(ISNA(INDEX('DO NOT OPEN'!D:D,MATCH(C78,'DO NOT OPEN'!A:A,0),0)),"No Stock",INDEX('DO NOT OPEN'!D:D,MATCH(C78,'DO NOT OPEN'!A:A,0),0))</f>
        <v>13</v>
      </c>
      <c r="M78" s="63" t="str">
        <f>HYPERLINK("http://www.sapphireav.com/Sapphire-Electric-Screen-Radio-Frequency-Viewing-Area-3495mm-x-2621mm-Approx-Case-Dimensions-L-3824mm-x-H-126mm-x-D-120mm_p_93.html", "Click for Web Link")</f>
        <v>Click for Web Link</v>
      </c>
      <c r="N78" s="100">
        <v>40</v>
      </c>
      <c r="O78" s="69">
        <v>30</v>
      </c>
      <c r="S78" s="11"/>
    </row>
    <row r="79" spans="1:19" x14ac:dyDescent="0.35">
      <c r="A79">
        <v>231</v>
      </c>
      <c r="C79" s="23" t="s">
        <v>36</v>
      </c>
      <c r="D79" s="86">
        <v>5060558502239</v>
      </c>
      <c r="E79" t="s">
        <v>242</v>
      </c>
      <c r="F79" t="s">
        <v>777</v>
      </c>
      <c r="G79" t="s">
        <v>261</v>
      </c>
      <c r="H79" s="25" t="s">
        <v>219</v>
      </c>
      <c r="I79" t="s">
        <v>601</v>
      </c>
      <c r="J79" t="s">
        <v>281</v>
      </c>
      <c r="K79" t="s">
        <v>283</v>
      </c>
      <c r="L79" s="30">
        <f>IF(ISNA(INDEX('DO NOT OPEN'!D:D,MATCH(C79,'DO NOT OPEN'!A:A,0),0)),"No Stock",INDEX('DO NOT OPEN'!D:D,MATCH(C79,'DO NOT OPEN'!A:A,0),0))</f>
        <v>34</v>
      </c>
      <c r="M79" s="63" t="str">
        <f>HYPERLINK("http://www.sapphireav.com/Sapphire-Electric-Screen-Radio-Frequency-Viewing-Area-3495mm-x-1966-Approx-Case-Dimensions-L-3824mm-x-H-126mm-x-D-120mm_p_94.html", "Click for Web Link")</f>
        <v>Click for Web Link</v>
      </c>
      <c r="N79" s="100">
        <v>40</v>
      </c>
      <c r="O79" s="69">
        <v>30</v>
      </c>
      <c r="S79" s="11"/>
    </row>
    <row r="80" spans="1:19" x14ac:dyDescent="0.35">
      <c r="A80">
        <v>233</v>
      </c>
      <c r="C80" s="23" t="s">
        <v>137</v>
      </c>
      <c r="D80" s="86">
        <v>5060558503434</v>
      </c>
      <c r="E80" t="s">
        <v>242</v>
      </c>
      <c r="F80" t="s">
        <v>777</v>
      </c>
      <c r="G80" t="s">
        <v>261</v>
      </c>
      <c r="H80" s="25" t="s">
        <v>220</v>
      </c>
      <c r="I80" t="s">
        <v>601</v>
      </c>
      <c r="J80" t="s">
        <v>281</v>
      </c>
      <c r="K80" t="s">
        <v>283</v>
      </c>
      <c r="L80" s="30">
        <f>IF(ISNA(INDEX('DO NOT OPEN'!D:D,MATCH(C80,'DO NOT OPEN'!A:A,0),0)),"No Stock",INDEX('DO NOT OPEN'!D:D,MATCH(C80,'DO NOT OPEN'!A:A,0),0))</f>
        <v>21</v>
      </c>
      <c r="M80" s="63" t="str">
        <f>HYPERLINK("http://www.sapphireav.com/Sapphire-Electric-Screen-Radio-Frequency-Viewing-Area-3495-x-2181mm-Approx-Case-Dimensions-L-3824mm-x-H-126mm-x-D-120mm_p_464.html", "Click for Web Link")</f>
        <v>Click for Web Link</v>
      </c>
      <c r="N80" s="100">
        <v>40</v>
      </c>
      <c r="O80" s="69">
        <v>30</v>
      </c>
      <c r="S80" s="11"/>
    </row>
    <row r="81" spans="1:19" x14ac:dyDescent="0.35">
      <c r="A81">
        <v>237</v>
      </c>
      <c r="C81" s="23" t="s">
        <v>37</v>
      </c>
      <c r="D81" s="86">
        <v>5060558502246</v>
      </c>
      <c r="E81" t="s">
        <v>242</v>
      </c>
      <c r="F81" t="s">
        <v>777</v>
      </c>
      <c r="G81" t="s">
        <v>260</v>
      </c>
      <c r="H81" s="25" t="s">
        <v>239</v>
      </c>
      <c r="I81" t="s">
        <v>601</v>
      </c>
      <c r="J81" t="s">
        <v>281</v>
      </c>
      <c r="K81" t="s">
        <v>283</v>
      </c>
      <c r="L81" s="30">
        <f>IF(ISNA(INDEX('DO NOT OPEN'!D:D,MATCH(C81,'DO NOT OPEN'!A:A,0),0)),"No Stock",INDEX('DO NOT OPEN'!D:D,MATCH(C81,'DO NOT OPEN'!A:A,0),0))</f>
        <v>2</v>
      </c>
      <c r="M81" s="63" t="str">
        <f>HYPERLINK("http://www.sapphireav.com/Sapphire-Electric-Screen-Viewing-Area-3988mm-x-3988mm-not-Channel-Fix-Approx-Case-Dimensions-L-4335mm-x-H-180mm-x-D-140mm_p_95.html", "Click for Web Link")</f>
        <v>Click for Web Link</v>
      </c>
      <c r="N81" s="100">
        <v>50</v>
      </c>
      <c r="O81" s="69">
        <v>30</v>
      </c>
      <c r="S81" s="11"/>
    </row>
    <row r="82" spans="1:19" x14ac:dyDescent="0.35">
      <c r="A82">
        <v>238</v>
      </c>
      <c r="C82" s="23" t="s">
        <v>38</v>
      </c>
      <c r="D82" s="86">
        <v>5060558502253</v>
      </c>
      <c r="E82" t="s">
        <v>242</v>
      </c>
      <c r="F82" t="s">
        <v>777</v>
      </c>
      <c r="G82" t="s">
        <v>260</v>
      </c>
      <c r="H82" s="25" t="s">
        <v>218</v>
      </c>
      <c r="I82" t="s">
        <v>601</v>
      </c>
      <c r="J82" t="s">
        <v>281</v>
      </c>
      <c r="K82" t="s">
        <v>283</v>
      </c>
      <c r="L82" s="30">
        <f>IF(ISNA(INDEX('DO NOT OPEN'!D:D,MATCH(C82,'DO NOT OPEN'!A:A,0),0)),"No Stock",INDEX('DO NOT OPEN'!D:D,MATCH(C82,'DO NOT OPEN'!A:A,0),0))</f>
        <v>11</v>
      </c>
      <c r="M82" s="63" t="str">
        <f>HYPERLINK("http://www.sapphireav.com/Sapphire-Electric-Screen-Radio-Frequency-Viewing-Area-4020mm-x-3015mm-Approx-Case-Dimensions-L-4377mm-x-H-126mm-x-D-120mm_p_96.html", "Click for Web Link")</f>
        <v>Click for Web Link</v>
      </c>
      <c r="N82" s="100">
        <v>44</v>
      </c>
      <c r="O82" s="69">
        <v>30</v>
      </c>
      <c r="S82" s="11"/>
    </row>
    <row r="83" spans="1:19" x14ac:dyDescent="0.35">
      <c r="A83">
        <v>240</v>
      </c>
      <c r="C83" s="23" t="s">
        <v>39</v>
      </c>
      <c r="D83" s="86">
        <v>5060558502260</v>
      </c>
      <c r="E83" t="s">
        <v>242</v>
      </c>
      <c r="F83" t="s">
        <v>777</v>
      </c>
      <c r="G83" t="s">
        <v>260</v>
      </c>
      <c r="H83" s="25" t="s">
        <v>219</v>
      </c>
      <c r="I83" t="s">
        <v>601</v>
      </c>
      <c r="J83" t="s">
        <v>281</v>
      </c>
      <c r="K83" t="s">
        <v>283</v>
      </c>
      <c r="L83" s="30">
        <f>IF(ISNA(INDEX('DO NOT OPEN'!D:D,MATCH(C83,'DO NOT OPEN'!A:A,0),0)),"No Stock",INDEX('DO NOT OPEN'!D:D,MATCH(C83,'DO NOT OPEN'!A:A,0),0))</f>
        <v>22</v>
      </c>
      <c r="M83" s="63" t="str">
        <f>HYPERLINK("http://www.sapphireav.com/Sapphire-Electric-Screen-Radio-Frequency-Viewing-Area-3985mm-x-2240mm-Approx-Case-Dimensions-L-4300mm-x-H-126mm-x-D-120mm_p_97.html", "Click for Web Link")</f>
        <v>Click for Web Link</v>
      </c>
      <c r="N83" s="100">
        <v>44</v>
      </c>
      <c r="O83" s="69">
        <v>30</v>
      </c>
      <c r="S83" s="11"/>
    </row>
    <row r="84" spans="1:19" x14ac:dyDescent="0.35">
      <c r="A84">
        <v>243</v>
      </c>
      <c r="C84" s="23" t="s">
        <v>138</v>
      </c>
      <c r="D84" s="86">
        <v>5060558503441</v>
      </c>
      <c r="E84" t="s">
        <v>242</v>
      </c>
      <c r="F84" t="s">
        <v>777</v>
      </c>
      <c r="G84" t="s">
        <v>260</v>
      </c>
      <c r="H84" s="25" t="s">
        <v>220</v>
      </c>
      <c r="I84" t="s">
        <v>601</v>
      </c>
      <c r="J84" t="s">
        <v>281</v>
      </c>
      <c r="K84" t="s">
        <v>283</v>
      </c>
      <c r="L84" s="30">
        <f>IF(ISNA(INDEX('DO NOT OPEN'!D:D,MATCH(C84,'DO NOT OPEN'!A:A,0),0)),"No Stock",INDEX('DO NOT OPEN'!D:D,MATCH(C84,'DO NOT OPEN'!A:A,0),0))</f>
        <v>11</v>
      </c>
      <c r="M84" s="63" t="str">
        <f>HYPERLINK("http://www.sapphireav.com/Sapphire-Electric-Screen-Radio-Frequency-Viewing-Area-3985-x-2490mm-Approx-Case-Dimensions-L-4300mm-x-H-126mm-x-D-120mm_p_466.html", "Click for Web Link")</f>
        <v>Click for Web Link</v>
      </c>
      <c r="N84" s="100">
        <v>44</v>
      </c>
      <c r="O84" s="69">
        <v>30</v>
      </c>
      <c r="S84" s="11"/>
    </row>
    <row r="85" spans="1:19" x14ac:dyDescent="0.35">
      <c r="A85">
        <v>244</v>
      </c>
      <c r="C85" s="23" t="s">
        <v>40</v>
      </c>
      <c r="D85" s="86">
        <v>5060558502277</v>
      </c>
      <c r="E85" t="s">
        <v>242</v>
      </c>
      <c r="F85" t="s">
        <v>777</v>
      </c>
      <c r="G85" t="s">
        <v>276</v>
      </c>
      <c r="H85" s="25" t="s">
        <v>218</v>
      </c>
      <c r="I85" t="s">
        <v>601</v>
      </c>
      <c r="J85" t="s">
        <v>281</v>
      </c>
      <c r="K85" t="s">
        <v>778</v>
      </c>
      <c r="L85" s="30">
        <f>IF(ISNA(INDEX('DO NOT OPEN'!D:D,MATCH(C85,'DO NOT OPEN'!A:A,0),0)),"No Stock",INDEX('DO NOT OPEN'!D:D,MATCH(C85,'DO NOT OPEN'!A:A,0),0))</f>
        <v>2</v>
      </c>
      <c r="M85" s="63" t="str">
        <f>HYPERLINK("http://www.sapphireav.com/Sapphire-Electric-Screen-Radio-Frequency-Viewing-Area-4491mm-x-3638mm-not-channel-fix-Approx-Case-Dimensions-L-4836mm-x-H-180mm-x-D-140mm_p_98.html", "Click for Web Link")</f>
        <v>Click for Web Link</v>
      </c>
      <c r="N85" s="100">
        <v>50</v>
      </c>
      <c r="O85" s="69">
        <v>90</v>
      </c>
      <c r="S85" s="11"/>
    </row>
    <row r="86" spans="1:19" x14ac:dyDescent="0.35">
      <c r="A86">
        <v>245</v>
      </c>
      <c r="C86" s="23" t="s">
        <v>197</v>
      </c>
      <c r="D86" s="86">
        <v>5060558501089</v>
      </c>
      <c r="E86" t="s">
        <v>242</v>
      </c>
      <c r="F86" t="s">
        <v>777</v>
      </c>
      <c r="G86" t="s">
        <v>276</v>
      </c>
      <c r="H86" s="25" t="s">
        <v>219</v>
      </c>
      <c r="I86" t="s">
        <v>601</v>
      </c>
      <c r="J86" t="s">
        <v>281</v>
      </c>
      <c r="K86" t="s">
        <v>778</v>
      </c>
      <c r="L86" s="30">
        <f>IF(ISNA(INDEX('DO NOT OPEN'!D:D,MATCH(C86,'DO NOT OPEN'!A:A,0),0)),"No Stock",INDEX('DO NOT OPEN'!D:D,MATCH(C86,'DO NOT OPEN'!A:A,0),0))</f>
        <v>3</v>
      </c>
      <c r="M86" s="63" t="str">
        <f>HYPERLINK("http://www.sapphireav.com/Viewing-Area-4491mm-x-2525mm-45m-Electric-Screen-169-Format-Approx-Case-Dimensions-L-4836mm-x-H-180mm-x-D-140mm_p_574.html", "Click for Web Link")</f>
        <v>Click for Web Link</v>
      </c>
      <c r="N86" s="100">
        <v>50</v>
      </c>
      <c r="O86" s="69">
        <v>90</v>
      </c>
      <c r="S86" s="11"/>
    </row>
    <row r="87" spans="1:19" x14ac:dyDescent="0.35">
      <c r="A87">
        <v>246</v>
      </c>
      <c r="C87" s="23" t="s">
        <v>215</v>
      </c>
      <c r="D87" s="86">
        <v>5060558501386</v>
      </c>
      <c r="E87" t="s">
        <v>242</v>
      </c>
      <c r="F87" t="s">
        <v>777</v>
      </c>
      <c r="G87" t="s">
        <v>276</v>
      </c>
      <c r="H87" s="25" t="s">
        <v>220</v>
      </c>
      <c r="I87" t="s">
        <v>601</v>
      </c>
      <c r="J87" t="s">
        <v>281</v>
      </c>
      <c r="K87" t="s">
        <v>778</v>
      </c>
      <c r="L87" s="30">
        <f>IF(ISNA(INDEX('DO NOT OPEN'!D:D,MATCH(C87,'DO NOT OPEN'!A:A,0),0)),"No Stock",INDEX('DO NOT OPEN'!D:D,MATCH(C87,'DO NOT OPEN'!A:A,0),0))</f>
        <v>7</v>
      </c>
      <c r="M87" s="63" t="str">
        <f>HYPERLINK("http://www.sapphireav.com/Viewing-Area-4491mm-x-2807mm-45m-Electric-Screen-1610-Format-Approx-Case-Dimensions-L-4836mm-x-H-180mm-x-D-140mm_p_654.html", "Click for Web Link")</f>
        <v>Click for Web Link</v>
      </c>
      <c r="N87" s="100">
        <v>50</v>
      </c>
      <c r="O87" s="69">
        <v>90</v>
      </c>
      <c r="S87" s="11"/>
    </row>
    <row r="88" spans="1:19" x14ac:dyDescent="0.35">
      <c r="A88">
        <v>250</v>
      </c>
      <c r="C88" s="23" t="s">
        <v>171</v>
      </c>
      <c r="D88" s="86">
        <v>5060558501096</v>
      </c>
      <c r="E88" t="s">
        <v>242</v>
      </c>
      <c r="F88" t="s">
        <v>777</v>
      </c>
      <c r="G88" t="s">
        <v>275</v>
      </c>
      <c r="H88" s="25" t="s">
        <v>218</v>
      </c>
      <c r="I88" t="s">
        <v>601</v>
      </c>
      <c r="J88" t="s">
        <v>281</v>
      </c>
      <c r="K88" t="s">
        <v>778</v>
      </c>
      <c r="L88" s="30">
        <f>IF(ISNA(INDEX('DO NOT OPEN'!D:D,MATCH(C88,'DO NOT OPEN'!A:A,0),0)),"No Stock",INDEX('DO NOT OPEN'!D:D,MATCH(C88,'DO NOT OPEN'!A:A,0),0))</f>
        <v>6</v>
      </c>
      <c r="M88" s="63" t="str">
        <f>HYPERLINK("http://www.sapphireav.com/Sapphire-Electric-Screen-Radio-Frequency-Viewing-Area-4878mm-x-3652mm-not-channel-fix-Approx-Case-Dimensions-L-5283mm-x-H-232mm-x-D-217mm_p_534.html", "Click for Web Link")</f>
        <v>Click for Web Link</v>
      </c>
      <c r="N88" s="100">
        <v>52</v>
      </c>
      <c r="O88" s="69">
        <v>120</v>
      </c>
      <c r="S88" s="11"/>
    </row>
    <row r="89" spans="1:19" x14ac:dyDescent="0.35">
      <c r="A89">
        <v>261</v>
      </c>
      <c r="C89" s="23" t="s">
        <v>175</v>
      </c>
      <c r="D89" s="86">
        <v>5060558501041</v>
      </c>
      <c r="E89" t="s">
        <v>242</v>
      </c>
      <c r="F89" t="s">
        <v>777</v>
      </c>
      <c r="G89" t="s">
        <v>275</v>
      </c>
      <c r="H89" s="25" t="s">
        <v>219</v>
      </c>
      <c r="I89" t="s">
        <v>601</v>
      </c>
      <c r="J89" t="s">
        <v>281</v>
      </c>
      <c r="K89" t="s">
        <v>778</v>
      </c>
      <c r="L89" s="30">
        <f>IF(ISNA(INDEX('DO NOT OPEN'!D:D,MATCH(C89,'DO NOT OPEN'!A:A,0),0)),"No Stock",INDEX('DO NOT OPEN'!D:D,MATCH(C89,'DO NOT OPEN'!A:A,0),0))</f>
        <v>1</v>
      </c>
      <c r="M89" s="63" t="str">
        <f>HYPERLINK("http://www.sapphireav.com/Sapphire-Electric-Screen-Radio-Frequency-Viewing-Area-4878mm-x-2739mm-not-channel-fix-Approx-Case-Dimensions-L-5283mm-x-H-232mm-x-D-217mm_p_546.html", "Click for Web Link")</f>
        <v>Click for Web Link</v>
      </c>
      <c r="N89" s="100">
        <v>52</v>
      </c>
      <c r="O89" s="69">
        <v>120</v>
      </c>
      <c r="S89" s="11"/>
    </row>
    <row r="90" spans="1:19" x14ac:dyDescent="0.35">
      <c r="A90">
        <v>265</v>
      </c>
      <c r="C90" s="23" t="s">
        <v>161</v>
      </c>
      <c r="D90" s="86">
        <v>5060558501126</v>
      </c>
      <c r="E90" t="s">
        <v>242</v>
      </c>
      <c r="F90" t="s">
        <v>777</v>
      </c>
      <c r="G90" t="s">
        <v>275</v>
      </c>
      <c r="H90" s="25" t="s">
        <v>220</v>
      </c>
      <c r="I90" t="s">
        <v>601</v>
      </c>
      <c r="J90" t="s">
        <v>281</v>
      </c>
      <c r="K90" t="s">
        <v>778</v>
      </c>
      <c r="L90" s="30">
        <f>IF(ISNA(INDEX('DO NOT OPEN'!D:D,MATCH(C90,'DO NOT OPEN'!A:A,0),0)),"No Stock",INDEX('DO NOT OPEN'!D:D,MATCH(C90,'DO NOT OPEN'!A:A,0),0))</f>
        <v>4</v>
      </c>
      <c r="M90" s="63" t="str">
        <f>HYPERLINK("http://www.sapphireav.com/Sapphire-Electric-Screen-Radio-Frequency-Viewing-Area-4878mm-x-3048mm-not-channel-fix-Approx-Case-Dimensions-L-5283mm-x-H-232mm-x-D-217mm_p_523.html", "Click for Web Link")</f>
        <v>Click for Web Link</v>
      </c>
      <c r="N90" s="100">
        <v>52</v>
      </c>
      <c r="O90" s="69">
        <v>120</v>
      </c>
      <c r="S90" s="11"/>
    </row>
    <row r="91" spans="1:19" x14ac:dyDescent="0.35">
      <c r="A91">
        <v>266</v>
      </c>
      <c r="C91" s="23" t="s">
        <v>109</v>
      </c>
      <c r="D91" s="86">
        <v>5060558502284</v>
      </c>
      <c r="E91" t="s">
        <v>242</v>
      </c>
      <c r="F91" t="s">
        <v>777</v>
      </c>
      <c r="G91" t="s">
        <v>274</v>
      </c>
      <c r="H91" s="25" t="s">
        <v>218</v>
      </c>
      <c r="I91" t="s">
        <v>601</v>
      </c>
      <c r="J91" t="s">
        <v>682</v>
      </c>
      <c r="K91" t="s">
        <v>283</v>
      </c>
      <c r="L91" s="30">
        <f>IF(ISNA(INDEX('DO NOT OPEN'!D:D,MATCH(C91,'DO NOT OPEN'!A:A,0),0)),"No Stock",INDEX('DO NOT OPEN'!D:D,MATCH(C91,'DO NOT OPEN'!A:A,0),0))</f>
        <v>0</v>
      </c>
      <c r="M91" s="63" t="str">
        <f>HYPERLINK("http://www.sapphireav.com/Sapphire-Electric-Screen-Radio-Frequency-Viewing-Area-5080mm-x-3810mm-not-channel-fix-Approx-Case-Dimensions-L-5470mm-x-H-232mm-x-D-217mm_p_311.html", "Click for Web Link")</f>
        <v>Click for Web Link</v>
      </c>
      <c r="N91" s="100">
        <v>125</v>
      </c>
      <c r="O91" s="69" t="s">
        <v>298</v>
      </c>
      <c r="S91" s="11"/>
    </row>
    <row r="92" spans="1:19" x14ac:dyDescent="0.35">
      <c r="A92">
        <v>267</v>
      </c>
      <c r="C92" s="23" t="s">
        <v>151</v>
      </c>
      <c r="D92" s="86">
        <v>5060558503465</v>
      </c>
      <c r="E92" t="s">
        <v>242</v>
      </c>
      <c r="F92" t="s">
        <v>777</v>
      </c>
      <c r="G92" t="s">
        <v>274</v>
      </c>
      <c r="H92" s="25" t="s">
        <v>220</v>
      </c>
      <c r="I92" t="s">
        <v>601</v>
      </c>
      <c r="J92" t="s">
        <v>682</v>
      </c>
      <c r="K92" t="s">
        <v>283</v>
      </c>
      <c r="L92" s="30">
        <f>IF(ISNA(INDEX('DO NOT OPEN'!D:D,MATCH(C92,'DO NOT OPEN'!A:A,0),0)),"No Stock",INDEX('DO NOT OPEN'!D:D,MATCH(C92,'DO NOT OPEN'!A:A,0),0))</f>
        <v>0</v>
      </c>
      <c r="M92" s="63" t="str">
        <f>HYPERLINK("http://www.sapphireav.com/Sapphire-Electric-Screen-Radio-Frequency-Viewing-Area-5070mm-x-3125mm-not-channel-fix-Approx-Case-Dimensions-L-5470mm-x-H-232mm-x-D-217mm_p_504.html", "Click for Web Link")</f>
        <v>Click for Web Link</v>
      </c>
      <c r="N92" s="100">
        <v>125</v>
      </c>
      <c r="O92" s="69" t="s">
        <v>298</v>
      </c>
      <c r="S92" s="11"/>
    </row>
    <row r="93" spans="1:19" x14ac:dyDescent="0.35">
      <c r="A93">
        <v>268</v>
      </c>
      <c r="C93" s="23" t="s">
        <v>299</v>
      </c>
      <c r="D93" s="86">
        <v>5060558503458</v>
      </c>
      <c r="E93" t="s">
        <v>242</v>
      </c>
      <c r="F93" t="s">
        <v>777</v>
      </c>
      <c r="G93" t="s">
        <v>274</v>
      </c>
      <c r="H93" s="25" t="s">
        <v>219</v>
      </c>
      <c r="I93" t="s">
        <v>601</v>
      </c>
      <c r="J93" t="s">
        <v>682</v>
      </c>
      <c r="K93" t="s">
        <v>283</v>
      </c>
      <c r="L93" s="30">
        <f>IF(ISNA(INDEX('DO NOT OPEN'!D:D,MATCH(C93,'DO NOT OPEN'!A:A,0),0)),"No Stock",INDEX('DO NOT OPEN'!D:D,MATCH(C93,'DO NOT OPEN'!A:A,0),0))</f>
        <v>0</v>
      </c>
      <c r="M93" s="67" t="str">
        <f>HYPERLINK("http://www.sapphireav.com/Sapphire-Electric-Screen-Radio-Frequency-Viewing-Area-5070mm-x-2852mm-not-channel-fix-Approx-Case-Dimensions-L-5470mm-x-H-232mm-x-D-217mm_p_496.html", "Click for Web Link")</f>
        <v>Click for Web Link</v>
      </c>
      <c r="N93" s="100">
        <v>125</v>
      </c>
      <c r="O93" s="69" t="s">
        <v>298</v>
      </c>
      <c r="S93" s="11"/>
    </row>
    <row r="94" spans="1:19" x14ac:dyDescent="0.35">
      <c r="A94">
        <v>269</v>
      </c>
      <c r="C94" s="23" t="s">
        <v>110</v>
      </c>
      <c r="D94" s="86">
        <v>5060558502291</v>
      </c>
      <c r="E94" t="s">
        <v>242</v>
      </c>
      <c r="F94" t="s">
        <v>777</v>
      </c>
      <c r="G94" t="s">
        <v>280</v>
      </c>
      <c r="H94" s="25" t="s">
        <v>218</v>
      </c>
      <c r="I94" t="s">
        <v>601</v>
      </c>
      <c r="J94" t="s">
        <v>682</v>
      </c>
      <c r="K94" t="s">
        <v>283</v>
      </c>
      <c r="L94" s="30">
        <f>IF(ISNA(INDEX('DO NOT OPEN'!D:D,MATCH(C94,'DO NOT OPEN'!A:A,0),0)),"No Stock",INDEX('DO NOT OPEN'!D:D,MATCH(C94,'DO NOT OPEN'!A:A,0),0))</f>
        <v>0</v>
      </c>
      <c r="M94" s="63" t="str">
        <f>HYPERLINK("http://www.sapphireav.com/Sapphire-Electric-Screen-Radio-Frequency-Viewing-Area-6000mm-x-4500mm-not-channel-fix-Approx-Case-Dimensions-L-6390mm-x-H-232mm-x-D-217mm_p_312.html", "Click for Web Link")</f>
        <v>Click for Web Link</v>
      </c>
      <c r="N94" s="100">
        <v>155</v>
      </c>
      <c r="O94" s="69" t="s">
        <v>298</v>
      </c>
      <c r="S94" s="11"/>
    </row>
    <row r="95" spans="1:19" x14ac:dyDescent="0.35">
      <c r="A95">
        <v>270</v>
      </c>
      <c r="C95" s="23" t="s">
        <v>69</v>
      </c>
      <c r="D95" s="88">
        <v>5060558502703</v>
      </c>
      <c r="E95" t="s">
        <v>241</v>
      </c>
      <c r="F95" t="s">
        <v>248</v>
      </c>
      <c r="G95" t="s">
        <v>266</v>
      </c>
      <c r="H95" s="25" t="s">
        <v>218</v>
      </c>
      <c r="I95" t="s">
        <v>601</v>
      </c>
      <c r="J95" t="s">
        <v>289</v>
      </c>
      <c r="L95" s="30">
        <f>IF(ISNA(INDEX('DO NOT OPEN'!D:D,MATCH(C95,'DO NOT OPEN'!A:A,0),0)),"No Stock",INDEX('DO NOT OPEN'!D:D,MATCH(C95,'DO NOT OPEN'!A:A,0),0))</f>
        <v>3</v>
      </c>
      <c r="M95" s="63" t="str">
        <f>HYPERLINK("http://www.sapphireav.com/Sapphire-Rapidfold-Front-Projection-Viewing-Area-2032mm-x-1524mm_p_138.html", "Click for Web Link")</f>
        <v>Click for Web Link</v>
      </c>
      <c r="N95" s="100">
        <v>24.5</v>
      </c>
      <c r="O95" s="69">
        <v>15</v>
      </c>
      <c r="S95" s="11"/>
    </row>
    <row r="96" spans="1:19" x14ac:dyDescent="0.35">
      <c r="A96">
        <v>271</v>
      </c>
      <c r="C96" s="23" t="s">
        <v>727</v>
      </c>
      <c r="D96" s="88">
        <v>5060558501485</v>
      </c>
      <c r="E96" t="s">
        <v>241</v>
      </c>
      <c r="F96" t="s">
        <v>248</v>
      </c>
      <c r="G96" t="s">
        <v>266</v>
      </c>
      <c r="H96" s="25" t="s">
        <v>220</v>
      </c>
      <c r="I96" t="s">
        <v>601</v>
      </c>
      <c r="J96" t="s">
        <v>289</v>
      </c>
      <c r="L96" s="30">
        <f>IF(ISNA(INDEX('DO NOT OPEN'!D:D,MATCH(C96,'DO NOT OPEN'!A:A,0),0)),"No Stock",INDEX('DO NOT OPEN'!D:D,MATCH(C96,'DO NOT OPEN'!A:A,0),0))</f>
        <v>4</v>
      </c>
      <c r="M96" s="64" t="str">
        <f>HYPERLINK("http://www.sapphireav.com/Sapphire-2m-Front-Rapid-Fold-1610_p_697.html","Click for Web Link")</f>
        <v>Click for Web Link</v>
      </c>
      <c r="N96" s="100">
        <v>24.5</v>
      </c>
      <c r="O96" s="69">
        <v>15</v>
      </c>
      <c r="S96" s="11"/>
    </row>
    <row r="97" spans="1:19" x14ac:dyDescent="0.35">
      <c r="A97">
        <v>274</v>
      </c>
      <c r="C97" s="85" t="s">
        <v>699</v>
      </c>
      <c r="D97" s="89">
        <v>5060558501751</v>
      </c>
      <c r="E97" s="2" t="s">
        <v>696</v>
      </c>
      <c r="F97" t="s">
        <v>241</v>
      </c>
      <c r="G97" t="s">
        <v>266</v>
      </c>
      <c r="H97" s="25" t="s">
        <v>220</v>
      </c>
      <c r="I97" t="s">
        <v>601</v>
      </c>
      <c r="J97" t="s">
        <v>683</v>
      </c>
      <c r="L97" s="30">
        <f>IF(ISNA(INDEX('DO NOT OPEN'!D:D,MATCH(C97,'DO NOT OPEN'!A:A,0),0)),"No Stock",INDEX('DO NOT OPEN'!D:D,MATCH(C97,'DO NOT OPEN'!A:A,0),0))</f>
        <v>0</v>
      </c>
      <c r="M97" s="64" t="str">
        <f>HYPERLINK("http://www.sapphireav.com/Sapphire-2m-Rapid-Fold-Front-Fabric-Only-1610_p_685.html", "Click for Web Link")</f>
        <v>Click for Web Link</v>
      </c>
      <c r="N97" s="100">
        <v>3.6</v>
      </c>
      <c r="O97" s="69">
        <v>12</v>
      </c>
      <c r="S97" s="11"/>
    </row>
    <row r="98" spans="1:19" x14ac:dyDescent="0.35">
      <c r="A98">
        <v>275</v>
      </c>
      <c r="C98" s="23" t="s">
        <v>72</v>
      </c>
      <c r="D98" s="86">
        <v>5060558503847</v>
      </c>
      <c r="E98" t="s">
        <v>696</v>
      </c>
      <c r="F98" t="s">
        <v>248</v>
      </c>
      <c r="G98" t="s">
        <v>266</v>
      </c>
      <c r="H98" s="25" t="s">
        <v>218</v>
      </c>
      <c r="I98" t="s">
        <v>601</v>
      </c>
      <c r="J98" t="s">
        <v>683</v>
      </c>
      <c r="L98" s="30">
        <f>IF(ISNA(INDEX('DO NOT OPEN'!D:D,MATCH(C98,'DO NOT OPEN'!A:A,0),0)),"No Stock",INDEX('DO NOT OPEN'!D:D,MATCH(C98,'DO NOT OPEN'!A:A,0),0))</f>
        <v>5</v>
      </c>
      <c r="M98" s="67" t="str">
        <f>HYPERLINK("http://www.sapphireav.com/Rapid-Fold-203-Front-Projection-Fabric_p_159.html", "Click for Web Link")</f>
        <v>Click for Web Link</v>
      </c>
      <c r="N98" s="100">
        <v>3.6</v>
      </c>
      <c r="O98" s="69">
        <v>12</v>
      </c>
      <c r="S98" s="11"/>
    </row>
    <row r="99" spans="1:19" x14ac:dyDescent="0.35">
      <c r="A99">
        <v>278</v>
      </c>
      <c r="C99" s="23" t="s">
        <v>116</v>
      </c>
      <c r="D99" s="86">
        <v>5060558502710</v>
      </c>
      <c r="E99" t="s">
        <v>241</v>
      </c>
      <c r="F99" t="s">
        <v>248</v>
      </c>
      <c r="G99" t="s">
        <v>266</v>
      </c>
      <c r="H99" s="25" t="s">
        <v>219</v>
      </c>
      <c r="I99" t="s">
        <v>601</v>
      </c>
      <c r="J99" t="s">
        <v>289</v>
      </c>
      <c r="L99" s="30">
        <f>IF(ISNA(INDEX('DO NOT OPEN'!D:D,MATCH(C99,'DO NOT OPEN'!A:A,0),0)),"No Stock",INDEX('DO NOT OPEN'!D:D,MATCH(C99,'DO NOT OPEN'!A:A,0),0))</f>
        <v>5</v>
      </c>
      <c r="M99" s="63" t="str">
        <f>HYPERLINK("http://www.sapphireav.com/Sapphire-Rapidfold-Front-Projection-Viewing-Area-2030mm-x-1141mm-169-Format_p_430.html", "Click for Web Link")</f>
        <v>Click for Web Link</v>
      </c>
      <c r="N99" s="100">
        <v>24.5</v>
      </c>
      <c r="O99" s="69">
        <v>15</v>
      </c>
      <c r="S99" s="11"/>
    </row>
    <row r="100" spans="1:19" x14ac:dyDescent="0.35">
      <c r="A100">
        <v>279</v>
      </c>
      <c r="C100" s="23" t="s">
        <v>698</v>
      </c>
      <c r="D100" s="86">
        <v>5060558501720</v>
      </c>
      <c r="E100" s="2" t="s">
        <v>696</v>
      </c>
      <c r="F100" t="s">
        <v>248</v>
      </c>
      <c r="G100" t="s">
        <v>266</v>
      </c>
      <c r="H100" s="25" t="s">
        <v>219</v>
      </c>
      <c r="I100" t="s">
        <v>601</v>
      </c>
      <c r="J100" t="s">
        <v>683</v>
      </c>
      <c r="L100" s="30">
        <f>IF(ISNA(INDEX('DO NOT OPEN'!D:D,MATCH(C100,'DO NOT OPEN'!A:A,0),0)),"No Stock",INDEX('DO NOT OPEN'!D:D,MATCH(C100,'DO NOT OPEN'!A:A,0),0))</f>
        <v>6</v>
      </c>
      <c r="M100" s="64" t="str">
        <f>HYPERLINK("http://www.sapphireav.com/Sapphire-2m-Front-Rapid-Fold-Fabric-only-169_p_678.html","Click for Web Link")</f>
        <v>Click for Web Link</v>
      </c>
      <c r="N100" s="100">
        <v>3.6</v>
      </c>
      <c r="O100" s="69">
        <v>12</v>
      </c>
      <c r="S100" s="11"/>
    </row>
    <row r="101" spans="1:19" x14ac:dyDescent="0.35">
      <c r="A101">
        <v>294</v>
      </c>
      <c r="C101" s="23" t="s">
        <v>71</v>
      </c>
      <c r="D101" s="86">
        <v>5060558502727</v>
      </c>
      <c r="E101" t="s">
        <v>241</v>
      </c>
      <c r="F101" t="s">
        <v>248</v>
      </c>
      <c r="G101" t="s">
        <v>266</v>
      </c>
      <c r="H101" s="25" t="s">
        <v>218</v>
      </c>
      <c r="I101" t="s">
        <v>293</v>
      </c>
      <c r="J101" t="s">
        <v>289</v>
      </c>
      <c r="L101" s="30">
        <f>IF(ISNA(INDEX('DO NOT OPEN'!D:D,MATCH(C101,'DO NOT OPEN'!A:A,0),0)),"No Stock",INDEX('DO NOT OPEN'!D:D,MATCH(C101,'DO NOT OPEN'!A:A,0),0))</f>
        <v>2</v>
      </c>
      <c r="M101" s="63" t="str">
        <f>HYPERLINK("http://www.sapphireav.com/Sapphire-Rapidfold-Rear-Projection-Viewing-Area-2032mm-x-1524mm_p_139.html", "Click for Web Link")</f>
        <v>Click for Web Link</v>
      </c>
      <c r="N101" s="100">
        <v>24.5</v>
      </c>
      <c r="O101" s="69">
        <v>15</v>
      </c>
      <c r="S101" s="11"/>
    </row>
    <row r="102" spans="1:19" x14ac:dyDescent="0.35">
      <c r="A102">
        <v>311</v>
      </c>
      <c r="C102" s="23" t="s">
        <v>701</v>
      </c>
      <c r="D102" s="89">
        <v>5060558501775</v>
      </c>
      <c r="E102" s="2" t="s">
        <v>241</v>
      </c>
      <c r="F102" t="s">
        <v>248</v>
      </c>
      <c r="G102" t="s">
        <v>266</v>
      </c>
      <c r="H102" s="25" t="s">
        <v>220</v>
      </c>
      <c r="I102" t="s">
        <v>293</v>
      </c>
      <c r="J102" t="s">
        <v>289</v>
      </c>
      <c r="L102" s="30">
        <f>IF(ISNA(INDEX('DO NOT OPEN'!D:D,MATCH(C102,'DO NOT OPEN'!A:A,0),0)),"No Stock",INDEX('DO NOT OPEN'!D:D,MATCH(C102,'DO NOT OPEN'!A:A,0),0))</f>
        <v>0</v>
      </c>
      <c r="M102" s="64" t="str">
        <f>HYPERLINK("http://www.sapphireav.com/Sapphire-2m-Rapid-Fold-Rear-Projection-1610_p_687.html","Click for Web Link")</f>
        <v>Click for Web Link</v>
      </c>
      <c r="N102" s="100">
        <v>24.5</v>
      </c>
      <c r="O102" s="69">
        <v>15</v>
      </c>
      <c r="S102" s="11"/>
    </row>
    <row r="103" spans="1:19" x14ac:dyDescent="0.35">
      <c r="A103">
        <v>312</v>
      </c>
      <c r="C103" s="23" t="s">
        <v>700</v>
      </c>
      <c r="D103" s="89">
        <v>5060558501768</v>
      </c>
      <c r="E103" s="2" t="s">
        <v>696</v>
      </c>
      <c r="F103" t="s">
        <v>241</v>
      </c>
      <c r="G103" t="s">
        <v>266</v>
      </c>
      <c r="H103" s="25" t="s">
        <v>220</v>
      </c>
      <c r="I103" t="s">
        <v>293</v>
      </c>
      <c r="J103" t="s">
        <v>683</v>
      </c>
      <c r="L103" s="30">
        <f>IF(ISNA(INDEX('DO NOT OPEN'!D:D,MATCH(C103,'DO NOT OPEN'!A:A,0),0)),"No Stock",INDEX('DO NOT OPEN'!D:D,MATCH(C103,'DO NOT OPEN'!A:A,0),0))</f>
        <v>0</v>
      </c>
      <c r="M103" s="64" t="str">
        <f>HYPERLINK("http://www.sapphireav.com/Sapphire-2m-Rapid-Fold-Rear-1610-Fabric_p_686.html","Click for Web Link")</f>
        <v>Click for Web Link</v>
      </c>
      <c r="N103" s="100">
        <v>3.6</v>
      </c>
      <c r="O103" s="69">
        <v>12</v>
      </c>
      <c r="S103" s="11"/>
    </row>
    <row r="104" spans="1:19" x14ac:dyDescent="0.35">
      <c r="A104">
        <v>315</v>
      </c>
      <c r="C104" s="23" t="s">
        <v>686</v>
      </c>
      <c r="D104" s="90">
        <v>5060558502734</v>
      </c>
      <c r="E104" t="s">
        <v>696</v>
      </c>
      <c r="F104" t="s">
        <v>248</v>
      </c>
      <c r="G104" t="s">
        <v>266</v>
      </c>
      <c r="H104" s="25" t="s">
        <v>218</v>
      </c>
      <c r="I104" t="s">
        <v>293</v>
      </c>
      <c r="J104" t="s">
        <v>683</v>
      </c>
      <c r="L104" s="30">
        <f>IF(ISNA(INDEX('DO NOT OPEN'!D:D,MATCH(C104,'DO NOT OPEN'!A:A,0),0)),"No Stock",INDEX('DO NOT OPEN'!D:D,MATCH(C104,'DO NOT OPEN'!A:A,0),0))</f>
        <v>2</v>
      </c>
      <c r="M104" s="68" t="str">
        <f>HYPERLINK("http://www.sapphireav.com/Rapid-Fold-Rear-Projection-fabric-for-SFFS203-Screen_p_150.html", "Click for Web Link")</f>
        <v>Click for Web Link</v>
      </c>
      <c r="N104" s="100">
        <v>3.6</v>
      </c>
      <c r="O104" s="69">
        <v>12</v>
      </c>
      <c r="S104" s="11"/>
    </row>
    <row r="105" spans="1:19" x14ac:dyDescent="0.35">
      <c r="A105">
        <v>320</v>
      </c>
      <c r="C105" s="23" t="s">
        <v>176</v>
      </c>
      <c r="D105" s="86">
        <v>5060558503854</v>
      </c>
      <c r="E105" t="s">
        <v>241</v>
      </c>
      <c r="F105" t="s">
        <v>248</v>
      </c>
      <c r="G105" t="s">
        <v>266</v>
      </c>
      <c r="H105" s="25" t="s">
        <v>219</v>
      </c>
      <c r="I105" t="s">
        <v>293</v>
      </c>
      <c r="J105" t="s">
        <v>289</v>
      </c>
      <c r="L105" s="30">
        <f>IF(ISNA(INDEX('DO NOT OPEN'!D:D,MATCH(C105,'DO NOT OPEN'!A:A,0),0)),"No Stock",INDEX('DO NOT OPEN'!D:D,MATCH(C105,'DO NOT OPEN'!A:A,0),0))</f>
        <v>2</v>
      </c>
      <c r="M105" s="63" t="str">
        <f>HYPERLINK("http://www.sapphireav.com/Sapphire-Rapidfold-Rear-Projection-Viewing-Area-2030mm-x-1141mm-169-Format_p_549.html", "Click for Web Link")</f>
        <v>Click for Web Link</v>
      </c>
      <c r="N105" s="100">
        <v>24.5</v>
      </c>
      <c r="O105" s="69">
        <v>15</v>
      </c>
      <c r="S105" s="11"/>
    </row>
    <row r="106" spans="1:19" x14ac:dyDescent="0.35">
      <c r="A106">
        <v>324</v>
      </c>
      <c r="C106" s="23" t="s">
        <v>689</v>
      </c>
      <c r="D106" s="88">
        <v>5060558503861</v>
      </c>
      <c r="E106" t="s">
        <v>696</v>
      </c>
      <c r="F106" t="s">
        <v>248</v>
      </c>
      <c r="G106" t="s">
        <v>266</v>
      </c>
      <c r="H106" s="25" t="s">
        <v>219</v>
      </c>
      <c r="I106" t="s">
        <v>293</v>
      </c>
      <c r="J106" t="s">
        <v>683</v>
      </c>
      <c r="L106" s="30">
        <f>IF(ISNA(INDEX('DO NOT OPEN'!D:D,MATCH(C106,'DO NOT OPEN'!A:A,0),0)),"No Stock",INDEX('DO NOT OPEN'!D:D,MATCH(C106,'DO NOT OPEN'!A:A,0),0))</f>
        <v>2</v>
      </c>
      <c r="M106" s="68" t="str">
        <f>HYPERLINK("http://www.sapphireav.com/Sapphire-2m-Rear-Projection-Rapid-Fold-Fabric-Only-169-Format_p_664.html", "Click for Web Link")</f>
        <v>Click for Web Link</v>
      </c>
      <c r="N106" s="100">
        <v>3.6</v>
      </c>
      <c r="O106" s="69">
        <v>12</v>
      </c>
      <c r="S106" s="11"/>
    </row>
    <row r="107" spans="1:19" x14ac:dyDescent="0.35">
      <c r="A107">
        <v>325</v>
      </c>
      <c r="C107" s="23" t="s">
        <v>73</v>
      </c>
      <c r="D107" s="86">
        <v>5060558502741</v>
      </c>
      <c r="E107" t="s">
        <v>241</v>
      </c>
      <c r="F107" t="s">
        <v>248</v>
      </c>
      <c r="G107" t="s">
        <v>273</v>
      </c>
      <c r="H107" s="25" t="s">
        <v>218</v>
      </c>
      <c r="I107" t="s">
        <v>601</v>
      </c>
      <c r="J107" t="s">
        <v>289</v>
      </c>
      <c r="K107" t="s">
        <v>636</v>
      </c>
      <c r="L107" s="30">
        <f>IF(ISNA(INDEX('DO NOT OPEN'!D:D,MATCH(C107,'DO NOT OPEN'!A:A,0),0)),"No Stock",INDEX('DO NOT OPEN'!D:D,MATCH(C107,'DO NOT OPEN'!A:A,0),0))</f>
        <v>3</v>
      </c>
      <c r="M107" s="63" t="str">
        <f>HYPERLINK("http://www.sapphireav.com/Sapphire-Rapidfold-Front-Projection-Viewing-Area-2438mm-x-1828mm_p_140.html", "Click for Web Link")</f>
        <v>Click for Web Link</v>
      </c>
      <c r="N107" s="100">
        <v>27</v>
      </c>
      <c r="O107" s="69">
        <v>15</v>
      </c>
      <c r="S107" s="11"/>
    </row>
    <row r="108" spans="1:19" x14ac:dyDescent="0.35">
      <c r="A108">
        <v>326</v>
      </c>
      <c r="C108" s="23" t="s">
        <v>75</v>
      </c>
      <c r="D108" s="86">
        <v>5060558503304</v>
      </c>
      <c r="E108" t="s">
        <v>241</v>
      </c>
      <c r="F108" t="s">
        <v>248</v>
      </c>
      <c r="G108" t="s">
        <v>273</v>
      </c>
      <c r="H108" s="25" t="s">
        <v>220</v>
      </c>
      <c r="I108" t="s">
        <v>601</v>
      </c>
      <c r="J108" t="s">
        <v>289</v>
      </c>
      <c r="K108" t="s">
        <v>636</v>
      </c>
      <c r="L108" s="30">
        <f>IF(ISNA(INDEX('DO NOT OPEN'!D:D,MATCH(C108,'DO NOT OPEN'!A:A,0),0)),"No Stock",INDEX('DO NOT OPEN'!D:D,MATCH(C108,'DO NOT OPEN'!A:A,0),0))</f>
        <v>0</v>
      </c>
      <c r="M108" s="63" t="str">
        <f>HYPERLINK("http://www.sapphireav.com/Rapid-Fold-24-Front-Projection-1610-Projection-Screen_p_141.html", "Click for Web Link")</f>
        <v>Click for Web Link</v>
      </c>
      <c r="N108" s="100">
        <v>27</v>
      </c>
      <c r="O108" s="69">
        <v>15</v>
      </c>
      <c r="S108" s="11"/>
    </row>
    <row r="109" spans="1:19" x14ac:dyDescent="0.35">
      <c r="A109">
        <v>328</v>
      </c>
      <c r="C109" s="23" t="s">
        <v>692</v>
      </c>
      <c r="D109" s="86">
        <v>5060558503823</v>
      </c>
      <c r="E109" t="s">
        <v>696</v>
      </c>
      <c r="F109" t="s">
        <v>248</v>
      </c>
      <c r="G109" t="s">
        <v>273</v>
      </c>
      <c r="H109" s="25" t="s">
        <v>218</v>
      </c>
      <c r="I109" t="s">
        <v>601</v>
      </c>
      <c r="J109" t="s">
        <v>683</v>
      </c>
      <c r="K109" t="s">
        <v>636</v>
      </c>
      <c r="L109" s="30">
        <f>IF(ISNA(INDEX('DO NOT OPEN'!D:D,MATCH(C109,'DO NOT OPEN'!A:A,0),0)),"No Stock",INDEX('DO NOT OPEN'!D:D,MATCH(C109,'DO NOT OPEN'!A:A,0),0))</f>
        <v>1</v>
      </c>
      <c r="M109" s="63" t="str">
        <f>HYPERLINK("http://www.sapphireav.com/Rapid-fold-244-Front-Projection-Fabric_p_160.html", "Click for Web Link")</f>
        <v>Click for Web Link</v>
      </c>
      <c r="N109" s="100">
        <v>4.0999999999999996</v>
      </c>
      <c r="O109" s="69">
        <v>12</v>
      </c>
      <c r="S109" s="11"/>
    </row>
    <row r="110" spans="1:19" x14ac:dyDescent="0.35">
      <c r="A110">
        <v>329</v>
      </c>
      <c r="C110" s="23" t="s">
        <v>117</v>
      </c>
      <c r="D110" s="86">
        <v>5060558502758</v>
      </c>
      <c r="E110" t="s">
        <v>241</v>
      </c>
      <c r="F110" t="s">
        <v>248</v>
      </c>
      <c r="G110" t="s">
        <v>273</v>
      </c>
      <c r="H110" s="25" t="s">
        <v>219</v>
      </c>
      <c r="I110" t="s">
        <v>601</v>
      </c>
      <c r="J110" t="s">
        <v>289</v>
      </c>
      <c r="K110" t="s">
        <v>636</v>
      </c>
      <c r="L110" s="30">
        <f>IF(ISNA(INDEX('DO NOT OPEN'!D:D,MATCH(C110,'DO NOT OPEN'!A:A,0),0)),"No Stock",INDEX('DO NOT OPEN'!D:D,MATCH(C110,'DO NOT OPEN'!A:A,0),0))</f>
        <v>5</v>
      </c>
      <c r="M110" s="63" t="str">
        <f>HYPERLINK("http://www.sapphireav.com/Sapphire-Rapidfold-Front-Projection-Viewing-Area-2440mm-x-1372mm-169-Format_p_431.html", "Click for Web Link")</f>
        <v>Click for Web Link</v>
      </c>
      <c r="N110" s="100">
        <v>27</v>
      </c>
      <c r="O110" s="69">
        <v>15</v>
      </c>
      <c r="S110" s="11"/>
    </row>
    <row r="111" spans="1:19" x14ac:dyDescent="0.35">
      <c r="A111">
        <v>335</v>
      </c>
      <c r="C111" s="83" t="s">
        <v>684</v>
      </c>
      <c r="D111" s="88">
        <v>5060558503878</v>
      </c>
      <c r="E111" t="s">
        <v>696</v>
      </c>
      <c r="F111" t="s">
        <v>248</v>
      </c>
      <c r="G111" t="s">
        <v>273</v>
      </c>
      <c r="H111" s="25" t="s">
        <v>219</v>
      </c>
      <c r="I111" t="s">
        <v>601</v>
      </c>
      <c r="J111" t="s">
        <v>683</v>
      </c>
      <c r="L111" s="30">
        <f>IF(ISNA(INDEX('DO NOT OPEN'!D:D,MATCH(C111,'DO NOT OPEN'!A:A,0),0)),"No Stock",INDEX('DO NOT OPEN'!D:D,MATCH(C111,'DO NOT OPEN'!A:A,0),0))</f>
        <v>0</v>
      </c>
      <c r="M111" s="68" t="str">
        <f>HYPERLINK("http://www.sapphireav.com/24m-Front-Projection-169-Fabric-only_p_673.html", "Click for Web Link")</f>
        <v>Click for Web Link</v>
      </c>
      <c r="N111" s="100">
        <v>4.0999999999999996</v>
      </c>
      <c r="O111" s="69">
        <v>12</v>
      </c>
      <c r="S111" s="11"/>
    </row>
    <row r="112" spans="1:19" x14ac:dyDescent="0.35">
      <c r="A112">
        <v>336</v>
      </c>
      <c r="C112" s="23" t="s">
        <v>76</v>
      </c>
      <c r="D112" s="86">
        <v>5060558501102</v>
      </c>
      <c r="E112" t="s">
        <v>241</v>
      </c>
      <c r="F112" t="s">
        <v>248</v>
      </c>
      <c r="G112" t="s">
        <v>273</v>
      </c>
      <c r="H112" s="25" t="s">
        <v>218</v>
      </c>
      <c r="I112" t="s">
        <v>293</v>
      </c>
      <c r="J112" t="s">
        <v>289</v>
      </c>
      <c r="K112" t="s">
        <v>636</v>
      </c>
      <c r="L112" s="30">
        <f>IF(ISNA(INDEX('DO NOT OPEN'!D:D,MATCH(C112,'DO NOT OPEN'!A:A,0),0)),"No Stock",INDEX('DO NOT OPEN'!D:D,MATCH(C112,'DO NOT OPEN'!A:A,0),0))</f>
        <v>0</v>
      </c>
      <c r="M112" s="63" t="str">
        <f>HYPERLINK("http://www.sapphireav.com/Sapphire-Rapidfold-Rear-Projection-Viewing-Area-2438mm-x-1828mm_p_142.html", "Click for Web Link")</f>
        <v>Click for Web Link</v>
      </c>
      <c r="N112" s="100">
        <v>27</v>
      </c>
      <c r="O112" s="69">
        <v>15</v>
      </c>
      <c r="S112" s="11"/>
    </row>
    <row r="113" spans="1:19" x14ac:dyDescent="0.35">
      <c r="C113" t="s">
        <v>729</v>
      </c>
      <c r="D113" s="86">
        <v>5060558501492</v>
      </c>
      <c r="E113" t="s">
        <v>241</v>
      </c>
      <c r="F113" t="s">
        <v>248</v>
      </c>
      <c r="G113" t="s">
        <v>273</v>
      </c>
      <c r="H113" s="25" t="s">
        <v>220</v>
      </c>
      <c r="I113" t="s">
        <v>293</v>
      </c>
      <c r="J113" t="s">
        <v>289</v>
      </c>
      <c r="L113" s="30">
        <f>IF(ISNA(INDEX('DO NOT OPEN'!D:D,MATCH(C113,'DO NOT OPEN'!A:A,0),0)),"No Stock",INDEX('DO NOT OPEN'!D:D,MATCH(C113,'DO NOT OPEN'!A:A,0),0))</f>
        <v>1</v>
      </c>
      <c r="M113" s="63" t="str">
        <f>HYPERLINK("http://www.sapphireav.com/Sapphire-24m-Raapid-Fold-Rear-1610_p_700.html", "Click for Web Link")</f>
        <v>Click for Web Link</v>
      </c>
      <c r="N113" s="100">
        <v>27</v>
      </c>
      <c r="O113" s="69">
        <v>15</v>
      </c>
      <c r="S113" s="11"/>
    </row>
    <row r="114" spans="1:19" x14ac:dyDescent="0.35">
      <c r="A114">
        <v>338</v>
      </c>
      <c r="C114" s="23" t="s">
        <v>715</v>
      </c>
      <c r="D114" s="86">
        <v>5060558501621</v>
      </c>
      <c r="E114" s="2" t="s">
        <v>696</v>
      </c>
      <c r="F114" t="s">
        <v>248</v>
      </c>
      <c r="G114" t="s">
        <v>273</v>
      </c>
      <c r="H114" s="25" t="s">
        <v>220</v>
      </c>
      <c r="I114" t="s">
        <v>293</v>
      </c>
      <c r="J114" t="s">
        <v>683</v>
      </c>
      <c r="L114" s="30">
        <f>IF(ISNA(INDEX('DO NOT OPEN'!D:D,MATCH(C114,'DO NOT OPEN'!A:A,0),0)),"No Stock",INDEX('DO NOT OPEN'!D:D,MATCH(C114,'DO NOT OPEN'!A:A,0),0))</f>
        <v>1</v>
      </c>
      <c r="M114" s="64" t="str">
        <f>HYPERLINK("http://www.sapphireav.com/Sapphire-24m-1610-Rear-Projection-Rapid-Fold-Fabric-Only_p_676.html","Click for Web Link")</f>
        <v>Click for Web Link</v>
      </c>
      <c r="N114" s="100">
        <v>4.0999999999999996</v>
      </c>
      <c r="O114" s="69">
        <v>12</v>
      </c>
      <c r="S114" s="11"/>
    </row>
    <row r="115" spans="1:19" x14ac:dyDescent="0.35">
      <c r="A115">
        <v>428</v>
      </c>
      <c r="C115" s="23" t="s">
        <v>74</v>
      </c>
      <c r="D115" s="86">
        <v>5060558502765</v>
      </c>
      <c r="E115" t="s">
        <v>696</v>
      </c>
      <c r="F115" t="s">
        <v>248</v>
      </c>
      <c r="G115" t="s">
        <v>273</v>
      </c>
      <c r="H115" s="25" t="s">
        <v>218</v>
      </c>
      <c r="I115" t="s">
        <v>293</v>
      </c>
      <c r="J115" t="s">
        <v>683</v>
      </c>
      <c r="K115" t="s">
        <v>636</v>
      </c>
      <c r="L115" s="30">
        <f>IF(ISNA(INDEX('DO NOT OPEN'!D:D,MATCH(C115,'DO NOT OPEN'!A:A,0),0)),"No Stock",INDEX('DO NOT OPEN'!D:D,MATCH(C115,'DO NOT OPEN'!A:A,0),0))</f>
        <v>4</v>
      </c>
      <c r="M115" s="63" t="str">
        <f>HYPERLINK("http://www.sapphireav.com/Rapid-Fold-244-Rear-Projection-Fabric_p_153.html", "Click for Web Link")</f>
        <v>Click for Web Link</v>
      </c>
      <c r="N115" s="100">
        <v>4.0999999999999996</v>
      </c>
      <c r="O115" s="69">
        <v>12</v>
      </c>
      <c r="S115" s="11"/>
    </row>
    <row r="116" spans="1:19" x14ac:dyDescent="0.35">
      <c r="A116">
        <v>430</v>
      </c>
      <c r="C116" s="23" t="s">
        <v>177</v>
      </c>
      <c r="D116" s="86">
        <v>5060558503885</v>
      </c>
      <c r="E116" t="s">
        <v>241</v>
      </c>
      <c r="F116" t="s">
        <v>248</v>
      </c>
      <c r="G116" t="s">
        <v>273</v>
      </c>
      <c r="H116" s="25" t="s">
        <v>219</v>
      </c>
      <c r="I116" t="s">
        <v>293</v>
      </c>
      <c r="J116" t="s">
        <v>289</v>
      </c>
      <c r="K116" t="s">
        <v>636</v>
      </c>
      <c r="L116" s="30">
        <f>IF(ISNA(INDEX('DO NOT OPEN'!D:D,MATCH(C116,'DO NOT OPEN'!A:A,0),0)),"No Stock",INDEX('DO NOT OPEN'!D:D,MATCH(C116,'DO NOT OPEN'!A:A,0),0))</f>
        <v>0</v>
      </c>
      <c r="M116" s="63" t="str">
        <f>HYPERLINK("http://www.sapphireav.com/Sapphire-Rapidfold-Rear-Projection-Viewing-Area-2440mm-x-1372mm-169-Format_p_550.html", "Click for Web Link")</f>
        <v>Click for Web Link</v>
      </c>
      <c r="N116" s="100">
        <v>27</v>
      </c>
      <c r="O116" s="69">
        <v>15</v>
      </c>
      <c r="S116" s="11"/>
    </row>
    <row r="117" spans="1:19" x14ac:dyDescent="0.35">
      <c r="A117">
        <v>431</v>
      </c>
      <c r="C117" s="23" t="s">
        <v>687</v>
      </c>
      <c r="D117" s="86">
        <v>5060558501188</v>
      </c>
      <c r="E117" t="s">
        <v>696</v>
      </c>
      <c r="F117" t="s">
        <v>248</v>
      </c>
      <c r="G117" t="s">
        <v>273</v>
      </c>
      <c r="H117" s="25" t="s">
        <v>219</v>
      </c>
      <c r="I117" t="s">
        <v>293</v>
      </c>
      <c r="J117" t="s">
        <v>683</v>
      </c>
      <c r="K117" t="s">
        <v>636</v>
      </c>
      <c r="L117" s="30">
        <f>IF(ISNA(INDEX('DO NOT OPEN'!D:D,MATCH(C117,'DO NOT OPEN'!A:A,0),0)),"No Stock",INDEX('DO NOT OPEN'!D:D,MATCH(C117,'DO NOT OPEN'!A:A,0),0))</f>
        <v>3</v>
      </c>
      <c r="M117" s="63" t="str">
        <f>HYPERLINK("http://www.sapphireav.com/Rapid-Fold-Rear-Projection-fabric-for-SFFS244WSF_p_506.html", "Click for Web Link")</f>
        <v>Click for Web Link</v>
      </c>
      <c r="N117" s="100">
        <v>4.0999999999999996</v>
      </c>
      <c r="O117" s="69">
        <v>12</v>
      </c>
      <c r="S117" s="11"/>
    </row>
    <row r="118" spans="1:19" x14ac:dyDescent="0.35">
      <c r="A118">
        <v>432</v>
      </c>
      <c r="C118" s="23" t="s">
        <v>730</v>
      </c>
      <c r="D118" s="88">
        <v>5060558501607</v>
      </c>
      <c r="E118" t="s">
        <v>696</v>
      </c>
      <c r="F118" t="s">
        <v>248</v>
      </c>
      <c r="G118" t="s">
        <v>273</v>
      </c>
      <c r="H118" s="25" t="s">
        <v>220</v>
      </c>
      <c r="I118" t="s">
        <v>601</v>
      </c>
      <c r="J118" t="s">
        <v>683</v>
      </c>
      <c r="K118" s="6"/>
      <c r="L118" s="30">
        <f>IF(ISNA(INDEX('DO NOT OPEN'!D:D,MATCH(C118,'DO NOT OPEN'!A:A,0),0)),"No Stock",INDEX('DO NOT OPEN'!D:D,MATCH(C118,'DO NOT OPEN'!A:A,0),0))</f>
        <v>0</v>
      </c>
      <c r="M118" s="68" t="str">
        <f>HYPERLINK("http://www.sapphireav.com/Rapid-Fold-Front-Projection-fabric-only-for-24m-1610_p_669.html", "Click for Web Link")</f>
        <v>Click for Web Link</v>
      </c>
      <c r="N118" s="100">
        <v>4.0999999999999996</v>
      </c>
      <c r="O118" s="69">
        <v>12</v>
      </c>
      <c r="S118" s="11"/>
    </row>
    <row r="119" spans="1:19" x14ac:dyDescent="0.35">
      <c r="A119">
        <v>433</v>
      </c>
      <c r="C119" s="23" t="s">
        <v>78</v>
      </c>
      <c r="D119" s="86">
        <v>5060558502772</v>
      </c>
      <c r="E119" t="s">
        <v>241</v>
      </c>
      <c r="F119" t="s">
        <v>248</v>
      </c>
      <c r="G119" t="s">
        <v>272</v>
      </c>
      <c r="H119" s="25" t="s">
        <v>218</v>
      </c>
      <c r="I119" t="s">
        <v>601</v>
      </c>
      <c r="J119" t="s">
        <v>289</v>
      </c>
      <c r="K119" t="s">
        <v>636</v>
      </c>
      <c r="L119" s="30">
        <f>IF(ISNA(INDEX('DO NOT OPEN'!D:D,MATCH(C119,'DO NOT OPEN'!A:A,0),0)),"No Stock",INDEX('DO NOT OPEN'!D:D,MATCH(C119,'DO NOT OPEN'!A:A,0),0))</f>
        <v>6</v>
      </c>
      <c r="M119" s="63" t="str">
        <f>HYPERLINK("http://www.sapphireav.com/Sapphire-Rapidfold-Front-Projection-Viewing-Area-3048mm-x-2286mm_p_143.html", "Click for Web Link")</f>
        <v>Click for Web Link</v>
      </c>
      <c r="N119" s="100">
        <v>30</v>
      </c>
      <c r="O119" s="69">
        <v>30</v>
      </c>
      <c r="S119" s="11"/>
    </row>
    <row r="120" spans="1:19" x14ac:dyDescent="0.35">
      <c r="C120" t="s">
        <v>728</v>
      </c>
      <c r="D120" s="86">
        <v>5060558501645</v>
      </c>
      <c r="E120" t="s">
        <v>241</v>
      </c>
      <c r="F120" t="s">
        <v>248</v>
      </c>
      <c r="G120" t="s">
        <v>272</v>
      </c>
      <c r="H120" s="25" t="s">
        <v>220</v>
      </c>
      <c r="I120" t="s">
        <v>293</v>
      </c>
      <c r="J120" t="s">
        <v>289</v>
      </c>
      <c r="L120" s="30">
        <f>IF(ISNA(INDEX('DO NOT OPEN'!D:D,MATCH(C120,'DO NOT OPEN'!A:A,0),0)),"No Stock",INDEX('DO NOT OPEN'!D:D,MATCH(C120,'DO NOT OPEN'!A:A,0),0))</f>
        <v>1</v>
      </c>
      <c r="M120" s="63" t="str">
        <f>HYPERLINK("http://www.sapphireav.com/Sapphire-3m-Rear-Rapid-Fold-1610_p_698.html", "Click for Web Link")</f>
        <v>Click for Web Link</v>
      </c>
      <c r="N120" s="100">
        <v>30</v>
      </c>
      <c r="O120" s="69">
        <v>30</v>
      </c>
      <c r="S120" s="11"/>
    </row>
    <row r="121" spans="1:19" x14ac:dyDescent="0.35">
      <c r="A121">
        <v>437</v>
      </c>
      <c r="C121" s="23" t="s">
        <v>200</v>
      </c>
      <c r="D121" s="86">
        <v>5060558503892</v>
      </c>
      <c r="E121" t="s">
        <v>241</v>
      </c>
      <c r="F121" t="s">
        <v>248</v>
      </c>
      <c r="G121" t="s">
        <v>272</v>
      </c>
      <c r="H121" s="25" t="s">
        <v>220</v>
      </c>
      <c r="I121" t="s">
        <v>601</v>
      </c>
      <c r="J121" t="s">
        <v>289</v>
      </c>
      <c r="K121" t="s">
        <v>636</v>
      </c>
      <c r="L121" s="30">
        <f>IF(ISNA(INDEX('DO NOT OPEN'!D:D,MATCH(C121,'DO NOT OPEN'!A:A,0),0)),"No Stock",INDEX('DO NOT OPEN'!D:D,MATCH(C121,'DO NOT OPEN'!A:A,0),0))</f>
        <v>1</v>
      </c>
      <c r="M121" s="63" t="str">
        <f>HYPERLINK("http://www.sapphireav.com/Sapphire-Rapidfold-Front-Projection-Viewing-Area-3050mm-x-1906mm-1610-Format_p_578.html", "Click for Web Link")</f>
        <v>Click for Web Link</v>
      </c>
      <c r="N121" s="100">
        <v>30</v>
      </c>
      <c r="O121" s="69">
        <v>30</v>
      </c>
      <c r="S121" s="11"/>
    </row>
    <row r="122" spans="1:19" x14ac:dyDescent="0.35">
      <c r="A122">
        <v>438</v>
      </c>
      <c r="C122" s="23" t="s">
        <v>717</v>
      </c>
      <c r="D122" s="86">
        <v>5060558501638</v>
      </c>
      <c r="E122" s="2" t="s">
        <v>696</v>
      </c>
      <c r="F122" t="s">
        <v>248</v>
      </c>
      <c r="G122" t="s">
        <v>272</v>
      </c>
      <c r="H122" s="25" t="s">
        <v>220</v>
      </c>
      <c r="I122" t="s">
        <v>601</v>
      </c>
      <c r="J122" t="s">
        <v>683</v>
      </c>
      <c r="L122" s="30">
        <f>IF(ISNA(INDEX('DO NOT OPEN'!D:D,MATCH(C122,'DO NOT OPEN'!A:A,0),0)),"No Stock",INDEX('DO NOT OPEN'!D:D,MATCH(C122,'DO NOT OPEN'!A:A,0),0))</f>
        <v>0</v>
      </c>
      <c r="M122" s="64" t="str">
        <f>HYPERLINK("http://www.sapphireav.com/3m-Rapid-Fold-Front-Projection-1610-Fabric-Only_p_677.html","Click for Web Link")</f>
        <v>Click for Web Link</v>
      </c>
      <c r="N122" s="100">
        <v>5.0999999999999996</v>
      </c>
      <c r="O122" s="69">
        <v>12</v>
      </c>
      <c r="S122" s="11"/>
    </row>
    <row r="123" spans="1:19" x14ac:dyDescent="0.35">
      <c r="A123">
        <v>439</v>
      </c>
      <c r="C123" s="23" t="s">
        <v>89</v>
      </c>
      <c r="D123" s="86">
        <v>5060558503830</v>
      </c>
      <c r="E123" t="s">
        <v>696</v>
      </c>
      <c r="F123" t="s">
        <v>248</v>
      </c>
      <c r="G123" t="s">
        <v>272</v>
      </c>
      <c r="H123" s="25" t="s">
        <v>218</v>
      </c>
      <c r="I123" t="s">
        <v>601</v>
      </c>
      <c r="J123" t="s">
        <v>683</v>
      </c>
      <c r="K123" t="s">
        <v>636</v>
      </c>
      <c r="L123" s="30">
        <f>IF(ISNA(INDEX('DO NOT OPEN'!D:D,MATCH(C123,'DO NOT OPEN'!A:A,0),0)),"No Stock",INDEX('DO NOT OPEN'!D:D,MATCH(C123,'DO NOT OPEN'!A:A,0),0))</f>
        <v>3</v>
      </c>
      <c r="M123" s="63" t="str">
        <f>HYPERLINK("http://www.sapphireav.com/Rapid-Fold-305-Front-Projection-Fabric_p_161.html", "Click for Web Link")</f>
        <v>Click for Web Link</v>
      </c>
      <c r="N123" s="100">
        <v>5.0999999999999996</v>
      </c>
      <c r="O123" s="69">
        <v>12</v>
      </c>
      <c r="S123" s="11"/>
    </row>
    <row r="124" spans="1:19" x14ac:dyDescent="0.35">
      <c r="A124">
        <v>440</v>
      </c>
      <c r="C124" s="23" t="s">
        <v>118</v>
      </c>
      <c r="D124" s="86">
        <v>5060558502789</v>
      </c>
      <c r="E124" t="s">
        <v>241</v>
      </c>
      <c r="F124" t="s">
        <v>248</v>
      </c>
      <c r="G124" t="s">
        <v>272</v>
      </c>
      <c r="H124" s="25" t="s">
        <v>219</v>
      </c>
      <c r="I124" t="s">
        <v>601</v>
      </c>
      <c r="J124" t="s">
        <v>289</v>
      </c>
      <c r="K124" t="s">
        <v>636</v>
      </c>
      <c r="L124" s="30">
        <f>IF(ISNA(INDEX('DO NOT OPEN'!D:D,MATCH(C124,'DO NOT OPEN'!A:A,0),0)),"No Stock",INDEX('DO NOT OPEN'!D:D,MATCH(C124,'DO NOT OPEN'!A:A,0),0))</f>
        <v>12</v>
      </c>
      <c r="M124" s="63" t="str">
        <f>HYPERLINK("http://www.sapphireav.com/Sapphire-Rapidfold-Front-Projection-Viewing-Area-3050mm-x-1715mm-169-Format_p_432.html", "Click for Web Link")</f>
        <v>Click for Web Link</v>
      </c>
      <c r="N124" s="100">
        <v>30</v>
      </c>
      <c r="O124" s="69">
        <v>30</v>
      </c>
      <c r="S124" s="11"/>
    </row>
    <row r="125" spans="1:19" x14ac:dyDescent="0.35">
      <c r="A125">
        <v>441</v>
      </c>
      <c r="C125" s="23" t="s">
        <v>685</v>
      </c>
      <c r="D125" s="91">
        <v>5060558503908</v>
      </c>
      <c r="E125" t="s">
        <v>696</v>
      </c>
      <c r="F125" t="s">
        <v>248</v>
      </c>
      <c r="G125" t="s">
        <v>272</v>
      </c>
      <c r="H125" s="25" t="s">
        <v>219</v>
      </c>
      <c r="I125" t="s">
        <v>601</v>
      </c>
      <c r="J125" t="s">
        <v>683</v>
      </c>
      <c r="L125" s="30">
        <f>IF(ISNA(INDEX('DO NOT OPEN'!D:D,MATCH(C125,'DO NOT OPEN'!A:A,0),0)),"No Stock",INDEX('DO NOT OPEN'!D:D,MATCH(C125,'DO NOT OPEN'!A:A,0),0))</f>
        <v>6</v>
      </c>
      <c r="M125" s="68" t="str">
        <f>HYPERLINK("http://www.sapphireav.com/3m-Front-Projection-169-Fabric-Only_p_670.html", "Click for Web Link")</f>
        <v>Click for Web Link</v>
      </c>
      <c r="N125" s="100">
        <v>5.0999999999999996</v>
      </c>
      <c r="O125" s="69">
        <v>12</v>
      </c>
      <c r="S125" s="11"/>
    </row>
    <row r="126" spans="1:19" x14ac:dyDescent="0.35">
      <c r="A126">
        <v>442</v>
      </c>
      <c r="C126" s="23" t="s">
        <v>80</v>
      </c>
      <c r="D126" s="86">
        <v>5060558503533</v>
      </c>
      <c r="E126" t="s">
        <v>241</v>
      </c>
      <c r="F126" t="s">
        <v>248</v>
      </c>
      <c r="G126" t="s">
        <v>272</v>
      </c>
      <c r="H126" s="25" t="s">
        <v>218</v>
      </c>
      <c r="I126" t="s">
        <v>293</v>
      </c>
      <c r="J126" t="s">
        <v>289</v>
      </c>
      <c r="K126" t="s">
        <v>636</v>
      </c>
      <c r="L126" s="30">
        <f>IF(ISNA(INDEX('DO NOT OPEN'!D:D,MATCH(C126,'DO NOT OPEN'!A:A,0),0)),"No Stock",INDEX('DO NOT OPEN'!D:D,MATCH(C126,'DO NOT OPEN'!A:A,0),0))</f>
        <v>1</v>
      </c>
      <c r="M126" s="63" t="str">
        <f>HYPERLINK("http://www.sapphireav.com/Sapphire-Rapidfold-Rear-Projection-Viewing-Area-3048mm-x-2286mm_p_144.html", "Click for Web Link")</f>
        <v>Click for Web Link</v>
      </c>
      <c r="N126" s="100">
        <v>30</v>
      </c>
      <c r="O126" s="69">
        <v>30</v>
      </c>
      <c r="S126" s="11"/>
    </row>
    <row r="127" spans="1:19" x14ac:dyDescent="0.35">
      <c r="A127">
        <v>445</v>
      </c>
      <c r="C127" s="23" t="s">
        <v>723</v>
      </c>
      <c r="D127" s="86">
        <v>5060558501652</v>
      </c>
      <c r="E127" s="2" t="s">
        <v>696</v>
      </c>
      <c r="F127" t="s">
        <v>248</v>
      </c>
      <c r="G127" t="s">
        <v>272</v>
      </c>
      <c r="H127" s="25" t="s">
        <v>220</v>
      </c>
      <c r="I127" t="s">
        <v>293</v>
      </c>
      <c r="J127" t="s">
        <v>683</v>
      </c>
      <c r="L127" s="30">
        <f>IF(ISNA(INDEX('DO NOT OPEN'!D:D,MATCH(C127,'DO NOT OPEN'!A:A,0),0)),"No Stock",INDEX('DO NOT OPEN'!D:D,MATCH(C127,'DO NOT OPEN'!A:A,0),0))</f>
        <v>0</v>
      </c>
      <c r="M127" s="64" t="str">
        <f>HYPERLINK("http://www.sapphireav.com/Sapphire-3m-Rear-Rapid-Fold-Fabric-only-1610_p_695.html","Click for Web Link")</f>
        <v>Click for Web Link</v>
      </c>
      <c r="N127" s="100">
        <v>5.0999999999999996</v>
      </c>
      <c r="O127" s="69">
        <v>12</v>
      </c>
      <c r="S127" s="11"/>
    </row>
    <row r="128" spans="1:19" x14ac:dyDescent="0.35">
      <c r="A128">
        <v>446</v>
      </c>
      <c r="C128" s="23" t="s">
        <v>79</v>
      </c>
      <c r="D128" s="86">
        <v>5060558502796</v>
      </c>
      <c r="E128" t="s">
        <v>696</v>
      </c>
      <c r="F128" t="s">
        <v>248</v>
      </c>
      <c r="G128" t="s">
        <v>272</v>
      </c>
      <c r="H128" s="25" t="s">
        <v>218</v>
      </c>
      <c r="I128" t="s">
        <v>601</v>
      </c>
      <c r="J128" t="s">
        <v>683</v>
      </c>
      <c r="K128" t="s">
        <v>636</v>
      </c>
      <c r="L128" s="30">
        <f>IF(ISNA(INDEX('DO NOT OPEN'!D:D,MATCH(C128,'DO NOT OPEN'!A:A,0),0)),"No Stock",INDEX('DO NOT OPEN'!D:D,MATCH(C128,'DO NOT OPEN'!A:A,0),0))</f>
        <v>5</v>
      </c>
      <c r="M128" s="63" t="str">
        <f>HYPERLINK("http://www.sapphireav.com/Rapid-Fold-305-Rear-Projection-Fabric_p_156.html", "Click for Web Link")</f>
        <v>Click for Web Link</v>
      </c>
      <c r="N128" s="100">
        <v>5.0999999999999996</v>
      </c>
      <c r="O128" s="69">
        <v>12</v>
      </c>
      <c r="S128" s="11"/>
    </row>
    <row r="129" spans="1:19" x14ac:dyDescent="0.35">
      <c r="A129">
        <v>447</v>
      </c>
      <c r="C129" s="23" t="s">
        <v>178</v>
      </c>
      <c r="D129" s="86">
        <v>5060558501195</v>
      </c>
      <c r="E129" t="s">
        <v>241</v>
      </c>
      <c r="F129" t="s">
        <v>248</v>
      </c>
      <c r="G129" t="s">
        <v>272</v>
      </c>
      <c r="H129" s="25" t="s">
        <v>219</v>
      </c>
      <c r="I129" t="s">
        <v>293</v>
      </c>
      <c r="J129" t="s">
        <v>289</v>
      </c>
      <c r="K129" t="s">
        <v>636</v>
      </c>
      <c r="L129" s="30">
        <f>IF(ISNA(INDEX('DO NOT OPEN'!D:D,MATCH(C129,'DO NOT OPEN'!A:A,0),0)),"No Stock",INDEX('DO NOT OPEN'!D:D,MATCH(C129,'DO NOT OPEN'!A:A,0),0))</f>
        <v>1</v>
      </c>
      <c r="M129" s="63" t="str">
        <f>HYPERLINK("http://www.sapphireav.com/Sapphire-Rapidfold-Rear-Projection-Viewing-Area-3050mm-x-1715mm-169-Format_p_551.html", "Click for Web Link")</f>
        <v>Click for Web Link</v>
      </c>
      <c r="N129" s="100">
        <v>30</v>
      </c>
      <c r="O129" s="69">
        <v>30</v>
      </c>
      <c r="S129" s="11"/>
    </row>
    <row r="130" spans="1:19" x14ac:dyDescent="0.35">
      <c r="A130">
        <v>448</v>
      </c>
      <c r="C130" s="23" t="s">
        <v>690</v>
      </c>
      <c r="D130" s="88">
        <v>5060558503915</v>
      </c>
      <c r="E130" t="s">
        <v>696</v>
      </c>
      <c r="F130" t="s">
        <v>248</v>
      </c>
      <c r="G130" t="s">
        <v>272</v>
      </c>
      <c r="H130" s="25" t="s">
        <v>219</v>
      </c>
      <c r="I130" t="s">
        <v>293</v>
      </c>
      <c r="J130" t="s">
        <v>683</v>
      </c>
      <c r="L130" s="30">
        <f>IF(ISNA(INDEX('DO NOT OPEN'!D:D,MATCH(C130,'DO NOT OPEN'!A:A,0),0)),"No Stock",INDEX('DO NOT OPEN'!D:D,MATCH(C130,'DO NOT OPEN'!A:A,0),0))</f>
        <v>1</v>
      </c>
      <c r="M130" s="68" t="str">
        <f>HYPERLINK("http://www.sapphireav.com/3m-Rear-Projection-169-Fabric-Only_p_671.html", "Click for Web Link")</f>
        <v>Click for Web Link</v>
      </c>
      <c r="N130" s="100">
        <v>5.0999999999999996</v>
      </c>
      <c r="O130" s="69">
        <v>12</v>
      </c>
      <c r="S130" s="11"/>
    </row>
    <row r="131" spans="1:19" x14ac:dyDescent="0.35">
      <c r="A131">
        <v>449</v>
      </c>
      <c r="C131" s="23" t="s">
        <v>81</v>
      </c>
      <c r="D131" s="86">
        <v>5060558502802</v>
      </c>
      <c r="E131" t="s">
        <v>241</v>
      </c>
      <c r="F131" t="s">
        <v>248</v>
      </c>
      <c r="G131" t="s">
        <v>271</v>
      </c>
      <c r="H131" s="25" t="s">
        <v>218</v>
      </c>
      <c r="I131" t="s">
        <v>601</v>
      </c>
      <c r="J131" t="s">
        <v>289</v>
      </c>
      <c r="K131" t="s">
        <v>636</v>
      </c>
      <c r="L131" s="30">
        <f>IF(ISNA(INDEX('DO NOT OPEN'!D:D,MATCH(C131,'DO NOT OPEN'!A:A,0),0)),"No Stock",INDEX('DO NOT OPEN'!D:D,MATCH(C131,'DO NOT OPEN'!A:A,0),0))</f>
        <v>5</v>
      </c>
      <c r="M131" s="63" t="str">
        <f>HYPERLINK("http://www.sapphireav.com/Sapphire-Rapidfold-Front-Projection-Viewing-Area-3657mm-x-2743mm_p_145.html", "Click for Web Link")</f>
        <v>Click for Web Link</v>
      </c>
      <c r="N131" s="100">
        <v>33</v>
      </c>
      <c r="O131" s="69">
        <v>30</v>
      </c>
      <c r="S131" s="11"/>
    </row>
    <row r="132" spans="1:19" x14ac:dyDescent="0.35">
      <c r="A132">
        <v>450</v>
      </c>
      <c r="C132" s="23" t="s">
        <v>201</v>
      </c>
      <c r="D132" s="86">
        <v>5060558501201</v>
      </c>
      <c r="E132" t="s">
        <v>241</v>
      </c>
      <c r="F132" t="s">
        <v>248</v>
      </c>
      <c r="G132" t="s">
        <v>271</v>
      </c>
      <c r="H132" s="25" t="s">
        <v>220</v>
      </c>
      <c r="I132" t="s">
        <v>601</v>
      </c>
      <c r="J132" t="s">
        <v>289</v>
      </c>
      <c r="K132" t="s">
        <v>636</v>
      </c>
      <c r="L132" s="30">
        <f>IF(ISNA(INDEX('DO NOT OPEN'!D:D,MATCH(C132,'DO NOT OPEN'!A:A,0),0)),"No Stock",INDEX('DO NOT OPEN'!D:D,MATCH(C132,'DO NOT OPEN'!A:A,0),0))</f>
        <v>0</v>
      </c>
      <c r="M132" s="63" t="str">
        <f>HYPERLINK("http://www.sapphireav.com/Sapphire-Rapidfold-Front-Projection-Viewing-Area-3650mm-x-2281mm-1610-Format_p_579.html", "Click for Web Link")</f>
        <v>Click for Web Link</v>
      </c>
      <c r="N132" s="100">
        <v>33</v>
      </c>
      <c r="O132" s="69">
        <v>30</v>
      </c>
      <c r="S132" s="11"/>
    </row>
    <row r="133" spans="1:19" x14ac:dyDescent="0.35">
      <c r="A133">
        <v>451</v>
      </c>
      <c r="C133" s="23" t="s">
        <v>702</v>
      </c>
      <c r="D133" s="89">
        <v>5060558501829</v>
      </c>
      <c r="E133" s="2" t="s">
        <v>696</v>
      </c>
      <c r="F133" t="s">
        <v>248</v>
      </c>
      <c r="G133" t="s">
        <v>271</v>
      </c>
      <c r="H133" s="25" t="s">
        <v>220</v>
      </c>
      <c r="I133" t="s">
        <v>601</v>
      </c>
      <c r="J133" t="s">
        <v>683</v>
      </c>
      <c r="L133" s="30">
        <f>IF(ISNA(INDEX('DO NOT OPEN'!D:D,MATCH(C133,'DO NOT OPEN'!A:A,0),0)),"No Stock",INDEX('DO NOT OPEN'!D:D,MATCH(C133,'DO NOT OPEN'!A:A,0),0))</f>
        <v>0</v>
      </c>
      <c r="M133" s="64" t="str">
        <f>HYPERLINK("http://www.sapphireav.com/Sapphire-36m-Rapid-Fold-Front-Fabric-Only-1610_p_688.html","Click for Web Link")</f>
        <v>Click for Web Link</v>
      </c>
      <c r="N133" s="100">
        <v>7</v>
      </c>
      <c r="O133" s="69">
        <v>12</v>
      </c>
      <c r="S133" s="11"/>
    </row>
    <row r="134" spans="1:19" x14ac:dyDescent="0.35">
      <c r="A134">
        <v>453</v>
      </c>
      <c r="C134" s="23" t="s">
        <v>84</v>
      </c>
      <c r="D134" s="86">
        <v>5060558503922</v>
      </c>
      <c r="E134" t="s">
        <v>696</v>
      </c>
      <c r="F134" t="s">
        <v>248</v>
      </c>
      <c r="G134" t="s">
        <v>271</v>
      </c>
      <c r="H134" s="25" t="s">
        <v>218</v>
      </c>
      <c r="I134" t="s">
        <v>601</v>
      </c>
      <c r="J134" t="s">
        <v>683</v>
      </c>
      <c r="K134" t="s">
        <v>636</v>
      </c>
      <c r="L134" s="30">
        <f>IF(ISNA(INDEX('DO NOT OPEN'!D:D,MATCH(C134,'DO NOT OPEN'!A:A,0),0)),"No Stock",INDEX('DO NOT OPEN'!D:D,MATCH(C134,'DO NOT OPEN'!A:A,0),0))</f>
        <v>2</v>
      </c>
      <c r="M134" s="63" t="str">
        <f>HYPERLINK("http://www.sapphireav.com/Rapid-Fold-365-Front-Projection-Fabric_p_162.html", "Click for Web Link")</f>
        <v>Click for Web Link</v>
      </c>
      <c r="N134" s="100">
        <v>7</v>
      </c>
      <c r="O134" s="69">
        <v>12</v>
      </c>
      <c r="Q134" s="11"/>
      <c r="S134" s="11"/>
    </row>
    <row r="135" spans="1:19" x14ac:dyDescent="0.35">
      <c r="A135">
        <v>456</v>
      </c>
      <c r="C135" s="23" t="s">
        <v>119</v>
      </c>
      <c r="D135" s="86">
        <v>5060558502819</v>
      </c>
      <c r="E135" t="s">
        <v>241</v>
      </c>
      <c r="F135" t="s">
        <v>248</v>
      </c>
      <c r="G135" t="s">
        <v>271</v>
      </c>
      <c r="H135" s="25" t="s">
        <v>219</v>
      </c>
      <c r="I135" t="s">
        <v>601</v>
      </c>
      <c r="J135" t="s">
        <v>289</v>
      </c>
      <c r="K135" t="s">
        <v>636</v>
      </c>
      <c r="L135" s="30">
        <f>IF(ISNA(INDEX('DO NOT OPEN'!D:D,MATCH(C135,'DO NOT OPEN'!A:A,0),0)),"No Stock",INDEX('DO NOT OPEN'!D:D,MATCH(C135,'DO NOT OPEN'!A:A,0),0))</f>
        <v>4</v>
      </c>
      <c r="M135" s="63" t="str">
        <f>HYPERLINK("http://www.sapphireav.com/Sapphire-Rapidfold-Front-Projection-Viewing-Area-3650mm-x-2053mm-169-Format_p_433.html", "Click for Web Link")</f>
        <v>Click for Web Link</v>
      </c>
      <c r="N135" s="100">
        <v>33</v>
      </c>
      <c r="O135" s="69">
        <v>30</v>
      </c>
      <c r="S135" s="11"/>
    </row>
    <row r="136" spans="1:19" x14ac:dyDescent="0.35">
      <c r="A136">
        <v>458</v>
      </c>
      <c r="C136" s="23" t="s">
        <v>721</v>
      </c>
      <c r="D136" s="86">
        <v>5060558504134</v>
      </c>
      <c r="E136" s="2" t="s">
        <v>696</v>
      </c>
      <c r="F136" t="s">
        <v>248</v>
      </c>
      <c r="G136" t="s">
        <v>271</v>
      </c>
      <c r="H136" s="25" t="s">
        <v>219</v>
      </c>
      <c r="I136" t="s">
        <v>601</v>
      </c>
      <c r="J136" t="s">
        <v>683</v>
      </c>
      <c r="L136" s="30">
        <f>IF(ISNA(INDEX('DO NOT OPEN'!D:D,MATCH(C136,'DO NOT OPEN'!A:A,0),0)),"No Stock",INDEX('DO NOT OPEN'!D:D,MATCH(C136,'DO NOT OPEN'!A:A,0),0))</f>
        <v>1</v>
      </c>
      <c r="M136" s="64" t="str">
        <f>HYPERLINK("http://www.sapphireav.com/Sapphire-36m-Rapid-Fold-Front-fabric-only-169_p_693.html","Click for Web Link")</f>
        <v>Click for Web Link</v>
      </c>
      <c r="N136" s="100">
        <v>7</v>
      </c>
      <c r="O136" s="69">
        <v>12</v>
      </c>
      <c r="S136" s="11"/>
    </row>
    <row r="137" spans="1:19" x14ac:dyDescent="0.35">
      <c r="A137">
        <v>459</v>
      </c>
      <c r="C137" s="23" t="s">
        <v>83</v>
      </c>
      <c r="D137" s="86">
        <v>5060558503557</v>
      </c>
      <c r="E137" t="s">
        <v>241</v>
      </c>
      <c r="F137" t="s">
        <v>248</v>
      </c>
      <c r="G137" t="s">
        <v>271</v>
      </c>
      <c r="H137" s="25" t="s">
        <v>218</v>
      </c>
      <c r="I137" t="s">
        <v>293</v>
      </c>
      <c r="J137" t="s">
        <v>289</v>
      </c>
      <c r="K137" t="s">
        <v>636</v>
      </c>
      <c r="L137" s="30">
        <f>IF(ISNA(INDEX('DO NOT OPEN'!D:D,MATCH(C137,'DO NOT OPEN'!A:A,0),0)),"No Stock",INDEX('DO NOT OPEN'!D:D,MATCH(C137,'DO NOT OPEN'!A:A,0),0))</f>
        <v>3</v>
      </c>
      <c r="M137" s="63" t="str">
        <f>HYPERLINK("http://www.sapphireav.com/Sapphire-Rapidfold-Rear-Projection-Viewing-Area-3657mm-x-2743mm_p_146.html", "Click for Web Link")</f>
        <v>Click for Web Link</v>
      </c>
      <c r="N137" s="100">
        <v>33</v>
      </c>
      <c r="O137" s="69">
        <v>30</v>
      </c>
      <c r="S137" s="11"/>
    </row>
    <row r="138" spans="1:19" x14ac:dyDescent="0.35">
      <c r="A138">
        <v>460</v>
      </c>
      <c r="C138" s="23" t="s">
        <v>703</v>
      </c>
      <c r="D138" s="89">
        <v>5060558501782</v>
      </c>
      <c r="E138" s="2" t="s">
        <v>241</v>
      </c>
      <c r="F138" t="s">
        <v>248</v>
      </c>
      <c r="G138" t="s">
        <v>271</v>
      </c>
      <c r="H138" s="25" t="s">
        <v>220</v>
      </c>
      <c r="I138" t="s">
        <v>293</v>
      </c>
      <c r="J138" t="s">
        <v>289</v>
      </c>
      <c r="L138" s="30">
        <f>IF(ISNA(INDEX('DO NOT OPEN'!D:D,MATCH(C138,'DO NOT OPEN'!A:A,0),0)),"No Stock",INDEX('DO NOT OPEN'!D:D,MATCH(C138,'DO NOT OPEN'!A:A,0),0))</f>
        <v>0</v>
      </c>
      <c r="M138" s="64" t="str">
        <f>HYPERLINK("http://www.sapphireav.com/Sapphire-Rapidfold-Rear-Projection-Viewing-Area-3650mm-x-2281mm-1610-Format_p_692.html","Click for Web Link")</f>
        <v>Click for Web Link</v>
      </c>
      <c r="N138" s="100">
        <v>33</v>
      </c>
      <c r="O138" s="69">
        <v>30</v>
      </c>
      <c r="S138" s="11"/>
    </row>
    <row r="139" spans="1:19" x14ac:dyDescent="0.35">
      <c r="A139">
        <v>461</v>
      </c>
      <c r="C139" s="23" t="s">
        <v>726</v>
      </c>
      <c r="D139" s="86">
        <v>5060558501676</v>
      </c>
      <c r="E139" s="2" t="s">
        <v>696</v>
      </c>
      <c r="F139" t="s">
        <v>248</v>
      </c>
      <c r="G139" t="s">
        <v>271</v>
      </c>
      <c r="H139" s="25" t="s">
        <v>220</v>
      </c>
      <c r="I139" t="s">
        <v>601</v>
      </c>
      <c r="J139" t="s">
        <v>683</v>
      </c>
      <c r="L139" s="30">
        <f>IF(ISNA(INDEX('DO NOT OPEN'!D:D,MATCH(C139,'DO NOT OPEN'!A:A,0),0)),"No Stock",INDEX('DO NOT OPEN'!D:D,MATCH(C139,'DO NOT OPEN'!A:A,0),0))</f>
        <v>1</v>
      </c>
      <c r="M139" s="64" t="str">
        <f>HYPERLINK("http://www.sapphireav.com/Sapphire-36m-Rear-Projecion-Rapid-Fold-Fabric-Only-1610_p_696.html","Click for Web Link")</f>
        <v>Click for Web Link</v>
      </c>
      <c r="N139" s="100">
        <v>7</v>
      </c>
      <c r="O139" s="69">
        <v>12</v>
      </c>
      <c r="S139" s="11"/>
    </row>
    <row r="140" spans="1:19" x14ac:dyDescent="0.35">
      <c r="A140">
        <v>462</v>
      </c>
      <c r="C140" s="23" t="s">
        <v>688</v>
      </c>
      <c r="D140" s="86">
        <v>5060558502826</v>
      </c>
      <c r="E140" t="s">
        <v>696</v>
      </c>
      <c r="F140" t="s">
        <v>248</v>
      </c>
      <c r="G140" t="s">
        <v>271</v>
      </c>
      <c r="H140" s="25" t="s">
        <v>218</v>
      </c>
      <c r="I140" t="s">
        <v>293</v>
      </c>
      <c r="J140" t="s">
        <v>683</v>
      </c>
      <c r="K140" t="s">
        <v>636</v>
      </c>
      <c r="L140" s="30">
        <f>IF(ISNA(INDEX('DO NOT OPEN'!D:D,MATCH(C140,'DO NOT OPEN'!A:A,0),0)),"No Stock",INDEX('DO NOT OPEN'!D:D,MATCH(C140,'DO NOT OPEN'!A:A,0),0))</f>
        <v>4</v>
      </c>
      <c r="M140" s="63" t="str">
        <f>HYPERLINK("http://www.sapphireav.com/Rapid-Fold-365-Rear-Projection-Fabric_p_157.html", "Click for Web Link")</f>
        <v>Click for Web Link</v>
      </c>
      <c r="N140" s="100">
        <v>7</v>
      </c>
      <c r="O140" s="69">
        <v>12</v>
      </c>
      <c r="S140" s="11"/>
    </row>
    <row r="141" spans="1:19" x14ac:dyDescent="0.35">
      <c r="A141">
        <v>463</v>
      </c>
      <c r="C141" s="23" t="s">
        <v>179</v>
      </c>
      <c r="D141" s="86">
        <v>5060558503939</v>
      </c>
      <c r="E141" t="s">
        <v>241</v>
      </c>
      <c r="F141" t="s">
        <v>248</v>
      </c>
      <c r="G141" t="s">
        <v>271</v>
      </c>
      <c r="H141" s="25" t="s">
        <v>219</v>
      </c>
      <c r="I141" t="s">
        <v>293</v>
      </c>
      <c r="J141" t="s">
        <v>289</v>
      </c>
      <c r="K141" t="s">
        <v>636</v>
      </c>
      <c r="L141" s="30">
        <f>IF(ISNA(INDEX('DO NOT OPEN'!D:D,MATCH(C141,'DO NOT OPEN'!A:A,0),0)),"No Stock",INDEX('DO NOT OPEN'!D:D,MATCH(C141,'DO NOT OPEN'!A:A,0),0))</f>
        <v>2</v>
      </c>
      <c r="M141" s="63" t="str">
        <f>HYPERLINK("http://www.sapphireav.com/Sapphire-Rapidfold-Rear-Projection-Viewing-Area-3650mm-x-2053mm-169-Format_p_552.html", "Click for Web Link")</f>
        <v>Click for Web Link</v>
      </c>
      <c r="N141" s="100">
        <v>33</v>
      </c>
      <c r="O141" s="69">
        <v>30</v>
      </c>
      <c r="S141" s="11"/>
    </row>
    <row r="142" spans="1:19" x14ac:dyDescent="0.35">
      <c r="A142">
        <v>464</v>
      </c>
      <c r="C142" s="23" t="s">
        <v>517</v>
      </c>
      <c r="D142" s="88">
        <v>5060558503946</v>
      </c>
      <c r="E142" t="s">
        <v>696</v>
      </c>
      <c r="F142" t="s">
        <v>248</v>
      </c>
      <c r="G142" t="s">
        <v>271</v>
      </c>
      <c r="H142" s="25" t="s">
        <v>219</v>
      </c>
      <c r="I142" t="s">
        <v>293</v>
      </c>
      <c r="J142" t="s">
        <v>683</v>
      </c>
      <c r="L142" s="30">
        <f>IF(ISNA(INDEX('DO NOT OPEN'!D:D,MATCH(C142,'DO NOT OPEN'!A:A,0),0)),"No Stock",INDEX('DO NOT OPEN'!D:D,MATCH(C142,'DO NOT OPEN'!A:A,0),0))</f>
        <v>2</v>
      </c>
      <c r="M142" s="68" t="str">
        <f>HYPERLINK(" http://www.sapphireav.com/36m-Rear-Projection-169-Fabric-Only_p_672.html", "Click for Web Link")</f>
        <v>Click for Web Link</v>
      </c>
      <c r="N142" s="100">
        <v>7</v>
      </c>
      <c r="O142" s="69">
        <v>12</v>
      </c>
      <c r="S142" s="11"/>
    </row>
    <row r="143" spans="1:19" x14ac:dyDescent="0.35">
      <c r="A143">
        <v>465</v>
      </c>
      <c r="C143" s="23" t="s">
        <v>85</v>
      </c>
      <c r="D143" s="86">
        <v>5060558502833</v>
      </c>
      <c r="E143" t="s">
        <v>241</v>
      </c>
      <c r="F143" t="s">
        <v>248</v>
      </c>
      <c r="G143" t="s">
        <v>270</v>
      </c>
      <c r="H143" s="25" t="s">
        <v>218</v>
      </c>
      <c r="I143" t="s">
        <v>601</v>
      </c>
      <c r="J143" t="s">
        <v>289</v>
      </c>
      <c r="K143" t="s">
        <v>636</v>
      </c>
      <c r="L143" s="30">
        <f>IF(ISNA(INDEX('DO NOT OPEN'!D:D,MATCH(C143,'DO NOT OPEN'!A:A,0),0)),"No Stock",INDEX('DO NOT OPEN'!D:D,MATCH(C143,'DO NOT OPEN'!A:A,0),0))</f>
        <v>3</v>
      </c>
      <c r="M143" s="63" t="str">
        <f>HYPERLINK("http://www.sapphireav.com/Sapphire-Rapidfold-Front-Projection-Viewing-Area-4046mm-x-3048mm_p_147.html", "Click for Web Link")</f>
        <v>Click for Web Link</v>
      </c>
      <c r="N143" s="100">
        <v>34</v>
      </c>
      <c r="O143" s="69">
        <v>30</v>
      </c>
      <c r="S143" s="11"/>
    </row>
    <row r="144" spans="1:19" x14ac:dyDescent="0.35">
      <c r="A144">
        <v>466</v>
      </c>
      <c r="C144" s="23" t="s">
        <v>719</v>
      </c>
      <c r="D144" s="86">
        <v>5060558501690</v>
      </c>
      <c r="E144" s="2" t="s">
        <v>241</v>
      </c>
      <c r="F144" t="s">
        <v>248</v>
      </c>
      <c r="G144" t="s">
        <v>270</v>
      </c>
      <c r="H144" s="25" t="s">
        <v>220</v>
      </c>
      <c r="I144" t="s">
        <v>601</v>
      </c>
      <c r="J144" t="s">
        <v>289</v>
      </c>
      <c r="L144" s="30">
        <f>IF(ISNA(INDEX('DO NOT OPEN'!D:D,MATCH(C144,'DO NOT OPEN'!A:A,0),0)),"No Stock",INDEX('DO NOT OPEN'!D:D,MATCH(C144,'DO NOT OPEN'!A:A,0),0))</f>
        <v>6</v>
      </c>
      <c r="M144" s="64" t="str">
        <f>HYPERLINK("http://www.sapphireav.com/Sapphire-Rapid-Fold-4m-1610_p_699.html","Click for Web Link")</f>
        <v>Click for Web Link</v>
      </c>
      <c r="N144" s="100">
        <v>34</v>
      </c>
      <c r="O144" s="69">
        <v>30</v>
      </c>
      <c r="S144" s="11"/>
    </row>
    <row r="145" spans="1:19" x14ac:dyDescent="0.35">
      <c r="A145">
        <v>467</v>
      </c>
      <c r="C145" s="23" t="s">
        <v>704</v>
      </c>
      <c r="D145" s="89">
        <v>5060558501799</v>
      </c>
      <c r="E145" s="2" t="s">
        <v>696</v>
      </c>
      <c r="F145" t="s">
        <v>248</v>
      </c>
      <c r="G145" t="s">
        <v>270</v>
      </c>
      <c r="H145" s="25" t="s">
        <v>220</v>
      </c>
      <c r="I145" t="s">
        <v>601</v>
      </c>
      <c r="J145" t="s">
        <v>683</v>
      </c>
      <c r="L145" s="30">
        <f>IF(ISNA(INDEX('DO NOT OPEN'!D:D,MATCH(C145,'DO NOT OPEN'!A:A,0),0)),"No Stock",INDEX('DO NOT OPEN'!D:D,MATCH(C145,'DO NOT OPEN'!A:A,0),0))</f>
        <v>0</v>
      </c>
      <c r="M145" s="64" t="str">
        <f>HYPERLINK("http://www.sapphireav.com/4m-Front-Projection-1610-Fabric-Only_p_691.html","Click for Web Link")</f>
        <v>Click for Web Link</v>
      </c>
      <c r="N145" s="100">
        <v>7.6</v>
      </c>
      <c r="O145" s="69">
        <v>12</v>
      </c>
      <c r="S145" s="11"/>
    </row>
    <row r="146" spans="1:19" x14ac:dyDescent="0.35">
      <c r="A146">
        <v>480</v>
      </c>
      <c r="C146" s="23" t="s">
        <v>691</v>
      </c>
      <c r="D146" s="88">
        <v>5060558503953</v>
      </c>
      <c r="E146" t="s">
        <v>696</v>
      </c>
      <c r="F146" t="s">
        <v>248</v>
      </c>
      <c r="G146" t="s">
        <v>270</v>
      </c>
      <c r="H146" s="25" t="s">
        <v>218</v>
      </c>
      <c r="I146" t="s">
        <v>601</v>
      </c>
      <c r="J146" t="s">
        <v>683</v>
      </c>
      <c r="L146" s="30">
        <f>IF(ISNA(INDEX('DO NOT OPEN'!D:D,MATCH(C146,'DO NOT OPEN'!A:A,0),0)),"No Stock",INDEX('DO NOT OPEN'!D:D,MATCH(C146,'DO NOT OPEN'!A:A,0),0))</f>
        <v>2</v>
      </c>
      <c r="M146" s="68" t="str">
        <f>HYPERLINK("http://www.sapphireav.com/Rapid-Fold-404-Front-Projection-Fabric-43_p_665.html", "Click for Web Link")</f>
        <v>Click for Web Link</v>
      </c>
      <c r="N146" s="100">
        <v>7.6</v>
      </c>
      <c r="O146" s="69">
        <v>12</v>
      </c>
      <c r="S146" s="11"/>
    </row>
    <row r="147" spans="1:19" x14ac:dyDescent="0.35">
      <c r="A147">
        <v>481</v>
      </c>
      <c r="C147" s="23" t="s">
        <v>163</v>
      </c>
      <c r="D147" s="86">
        <v>5060558502840</v>
      </c>
      <c r="E147" t="s">
        <v>241</v>
      </c>
      <c r="F147" t="s">
        <v>248</v>
      </c>
      <c r="G147" t="s">
        <v>270</v>
      </c>
      <c r="H147" s="25" t="s">
        <v>219</v>
      </c>
      <c r="I147" t="s">
        <v>601</v>
      </c>
      <c r="J147" t="s">
        <v>289</v>
      </c>
      <c r="K147" t="s">
        <v>636</v>
      </c>
      <c r="L147" s="30">
        <f>IF(ISNA(INDEX('DO NOT OPEN'!D:D,MATCH(C147,'DO NOT OPEN'!A:A,0),0)),"No Stock",INDEX('DO NOT OPEN'!D:D,MATCH(C147,'DO NOT OPEN'!A:A,0),0))</f>
        <v>3</v>
      </c>
      <c r="M147" s="63" t="str">
        <f>HYPERLINK("http://www.sapphireav.com/Sapphire-Rapidfold-Front-Projection-Viewing-Area-4046mm-x-2276mm-169-Format_p_525.html", "Click for Web Link")</f>
        <v>Click for Web Link</v>
      </c>
      <c r="N147" s="100">
        <v>34</v>
      </c>
      <c r="O147" s="69">
        <v>30</v>
      </c>
      <c r="S147" s="11"/>
    </row>
    <row r="148" spans="1:19" x14ac:dyDescent="0.35">
      <c r="C148" s="23" t="s">
        <v>722</v>
      </c>
      <c r="D148" s="86">
        <v>5060558503960</v>
      </c>
      <c r="E148" s="2" t="s">
        <v>696</v>
      </c>
      <c r="F148" t="s">
        <v>248</v>
      </c>
      <c r="G148" t="s">
        <v>270</v>
      </c>
      <c r="H148" s="25" t="s">
        <v>219</v>
      </c>
      <c r="I148" t="s">
        <v>601</v>
      </c>
      <c r="J148" t="s">
        <v>683</v>
      </c>
      <c r="L148" s="30">
        <f>IF(ISNA(INDEX('DO NOT OPEN'!D:D,MATCH(C148,'DO NOT OPEN'!A:A,0),0)),"No Stock",INDEX('DO NOT OPEN'!D:D,MATCH(C148,'DO NOT OPEN'!A:A,0),0))</f>
        <v>0</v>
      </c>
      <c r="M148" s="64" t="str">
        <f>HYPERLINK("http://www.sapphireav.com/4m-Front-Projection-169-Fabric-Only_p_694.html","Click for Web Link")</f>
        <v>Click for Web Link</v>
      </c>
      <c r="N148" s="100">
        <v>7.6</v>
      </c>
      <c r="O148" s="69">
        <v>12</v>
      </c>
      <c r="S148" s="11"/>
    </row>
    <row r="149" spans="1:19" x14ac:dyDescent="0.35">
      <c r="A149">
        <v>483</v>
      </c>
      <c r="C149" s="23" t="s">
        <v>87</v>
      </c>
      <c r="D149" s="86">
        <v>5060558503564</v>
      </c>
      <c r="E149" t="s">
        <v>241</v>
      </c>
      <c r="F149" t="s">
        <v>248</v>
      </c>
      <c r="G149" t="s">
        <v>270</v>
      </c>
      <c r="H149" s="25" t="s">
        <v>218</v>
      </c>
      <c r="I149" t="s">
        <v>293</v>
      </c>
      <c r="J149" t="s">
        <v>289</v>
      </c>
      <c r="K149" t="s">
        <v>636</v>
      </c>
      <c r="L149" s="30">
        <f>IF(ISNA(INDEX('DO NOT OPEN'!D:D,MATCH(C149,'DO NOT OPEN'!A:A,0),0)),"No Stock",INDEX('DO NOT OPEN'!D:D,MATCH(C149,'DO NOT OPEN'!A:A,0),0))</f>
        <v>0</v>
      </c>
      <c r="M149" s="63" t="str">
        <f>HYPERLINK("http://www.sapphireav.com/Sapphire-Rapidfold-Rear-Projection-Viewing-Area-4046mm-x-3048mm_p_148.html", "Click for Web Link")</f>
        <v>Click for Web Link</v>
      </c>
      <c r="N149" s="100">
        <v>34</v>
      </c>
      <c r="O149" s="69">
        <v>30</v>
      </c>
      <c r="S149" s="11"/>
    </row>
    <row r="150" spans="1:19" x14ac:dyDescent="0.35">
      <c r="A150">
        <v>484</v>
      </c>
      <c r="C150" s="23" t="s">
        <v>705</v>
      </c>
      <c r="D150" s="89">
        <v>5060558501805</v>
      </c>
      <c r="E150" s="2" t="s">
        <v>241</v>
      </c>
      <c r="F150" t="s">
        <v>248</v>
      </c>
      <c r="G150" t="s">
        <v>270</v>
      </c>
      <c r="H150" s="25" t="s">
        <v>220</v>
      </c>
      <c r="I150" t="s">
        <v>293</v>
      </c>
      <c r="J150" t="s">
        <v>289</v>
      </c>
      <c r="L150" s="30">
        <f>IF(ISNA(INDEX('DO NOT OPEN'!D:D,MATCH(C150,'DO NOT OPEN'!A:A,0),0)),"No Stock",INDEX('DO NOT OPEN'!D:D,MATCH(C150,'DO NOT OPEN'!A:A,0),0))</f>
        <v>0</v>
      </c>
      <c r="M150" s="64" t="str">
        <f>HYPERLINK("http://www.sapphireav.com/Sapphire-Rapidfold-Rear-Projection-Viewing-Area-4046mm-x-2528mm-1610-Format_p_689.html","Click for Web Link")</f>
        <v>Click for Web Link</v>
      </c>
      <c r="N150" s="100">
        <v>34</v>
      </c>
      <c r="O150" s="69">
        <v>30</v>
      </c>
      <c r="S150" s="11"/>
    </row>
    <row r="151" spans="1:19" x14ac:dyDescent="0.35">
      <c r="A151">
        <v>485</v>
      </c>
      <c r="C151" s="53" t="s">
        <v>720</v>
      </c>
      <c r="D151" s="86">
        <v>5060558501812</v>
      </c>
      <c r="E151" s="2" t="s">
        <v>696</v>
      </c>
      <c r="F151" t="s">
        <v>248</v>
      </c>
      <c r="G151" t="s">
        <v>270</v>
      </c>
      <c r="H151" s="25" t="s">
        <v>220</v>
      </c>
      <c r="I151" t="s">
        <v>293</v>
      </c>
      <c r="J151" t="s">
        <v>683</v>
      </c>
      <c r="L151" s="30">
        <f>IF(ISNA(INDEX('DO NOT OPEN'!D:D,MATCH(C151,'DO NOT OPEN'!A:A,0),0)),"No Stock",INDEX('DO NOT OPEN'!D:D,MATCH(C151,'DO NOT OPEN'!A:A,0),0))</f>
        <v>0</v>
      </c>
      <c r="M151" s="68" t="str">
        <f>HYPERLINK("http://www.sapphireav.com/4m-Rear-Projection-1610-Fabric-Only_p_690.html","Click for Web Link")</f>
        <v>Click for Web Link</v>
      </c>
      <c r="N151" s="100">
        <v>7.6</v>
      </c>
      <c r="O151" s="69">
        <v>12</v>
      </c>
      <c r="S151" s="11"/>
    </row>
    <row r="152" spans="1:19" x14ac:dyDescent="0.35">
      <c r="A152">
        <v>486</v>
      </c>
      <c r="C152" s="23" t="s">
        <v>86</v>
      </c>
      <c r="D152" s="88">
        <v>5060558502857</v>
      </c>
      <c r="E152" t="s">
        <v>696</v>
      </c>
      <c r="F152" t="s">
        <v>248</v>
      </c>
      <c r="G152" t="s">
        <v>270</v>
      </c>
      <c r="H152" s="25" t="s">
        <v>218</v>
      </c>
      <c r="I152" t="s">
        <v>293</v>
      </c>
      <c r="J152" t="s">
        <v>683</v>
      </c>
      <c r="L152" s="30">
        <f>IF(ISNA(INDEX('DO NOT OPEN'!D:D,MATCH(C152,'DO NOT OPEN'!A:A,0),0)),"No Stock",INDEX('DO NOT OPEN'!D:D,MATCH(C152,'DO NOT OPEN'!A:A,0),0))</f>
        <v>0</v>
      </c>
      <c r="M152" s="68" t="str">
        <f>HYPERLINK("http://www.sapphireav.com/Rapid-Fold-404-Rear-Projection-Fabric_p_158.html", "Click for Web Link")</f>
        <v>Click for Web Link</v>
      </c>
      <c r="N152" s="100">
        <v>7.6</v>
      </c>
      <c r="O152" s="69">
        <v>12</v>
      </c>
      <c r="S152" s="11"/>
    </row>
    <row r="153" spans="1:19" x14ac:dyDescent="0.35">
      <c r="A153">
        <v>487</v>
      </c>
      <c r="C153" s="23" t="s">
        <v>180</v>
      </c>
      <c r="D153" s="86">
        <v>5060558503977</v>
      </c>
      <c r="E153" t="s">
        <v>241</v>
      </c>
      <c r="F153" t="s">
        <v>248</v>
      </c>
      <c r="G153" t="s">
        <v>270</v>
      </c>
      <c r="H153" s="25" t="s">
        <v>219</v>
      </c>
      <c r="I153" t="s">
        <v>293</v>
      </c>
      <c r="J153" t="s">
        <v>289</v>
      </c>
      <c r="K153" t="s">
        <v>636</v>
      </c>
      <c r="L153" s="30">
        <f>IF(ISNA(INDEX('DO NOT OPEN'!D:D,MATCH(C153,'DO NOT OPEN'!A:A,0),0)),"No Stock",INDEX('DO NOT OPEN'!D:D,MATCH(C153,'DO NOT OPEN'!A:A,0),0))</f>
        <v>0</v>
      </c>
      <c r="M153" s="63" t="str">
        <f>HYPERLINK("http://www.sapphireav.com/Sapphire-Rapidfold-Rear-Projection-Viewing-Area-4046mm-x-2276mm-169-Format_p_553.html", "Click for Web Link")</f>
        <v>Click for Web Link</v>
      </c>
      <c r="N153" s="100">
        <v>34</v>
      </c>
      <c r="O153" s="69">
        <v>30</v>
      </c>
      <c r="S153" s="11"/>
    </row>
    <row r="154" spans="1:19" x14ac:dyDescent="0.35">
      <c r="A154">
        <v>488</v>
      </c>
      <c r="C154" s="23" t="s">
        <v>518</v>
      </c>
      <c r="D154" s="88">
        <v>5060558503984</v>
      </c>
      <c r="E154" t="s">
        <v>696</v>
      </c>
      <c r="F154" t="s">
        <v>248</v>
      </c>
      <c r="G154" t="s">
        <v>270</v>
      </c>
      <c r="H154" s="25" t="s">
        <v>219</v>
      </c>
      <c r="I154" t="s">
        <v>293</v>
      </c>
      <c r="J154" t="s">
        <v>683</v>
      </c>
      <c r="L154" s="30">
        <f>IF(ISNA(INDEX('DO NOT OPEN'!D:D,MATCH(C154,'DO NOT OPEN'!A:A,0),0)),"No Stock",INDEX('DO NOT OPEN'!D:D,MATCH(C154,'DO NOT OPEN'!A:A,0),0))</f>
        <v>0</v>
      </c>
      <c r="M154" s="68" t="str">
        <f>HYPERLINK("http://www.sapphireav.com/4m-Rear-Projection-169-Fabric-Only_p_666.html", "Click for Web Link")</f>
        <v>Click for Web Link</v>
      </c>
      <c r="N154" s="100">
        <v>7.6</v>
      </c>
      <c r="O154" s="69">
        <v>12</v>
      </c>
      <c r="S154" s="11"/>
    </row>
    <row r="155" spans="1:19" x14ac:dyDescent="0.35">
      <c r="A155">
        <v>492</v>
      </c>
      <c r="C155" s="23" t="s">
        <v>88</v>
      </c>
      <c r="D155" s="86">
        <v>5060558502864</v>
      </c>
      <c r="E155" t="s">
        <v>241</v>
      </c>
      <c r="F155" t="s">
        <v>248</v>
      </c>
      <c r="G155" t="s">
        <v>295</v>
      </c>
      <c r="H155" s="25" t="s">
        <v>218</v>
      </c>
      <c r="I155" t="s">
        <v>601</v>
      </c>
      <c r="J155" t="s">
        <v>289</v>
      </c>
      <c r="K155" t="s">
        <v>636</v>
      </c>
      <c r="L155" s="30">
        <f>IF(ISNA(INDEX('DO NOT OPEN'!D:D,MATCH(C155,'DO NOT OPEN'!A:A,0),0)),"No Stock",INDEX('DO NOT OPEN'!D:D,MATCH(C155,'DO NOT OPEN'!A:A,0),0))</f>
        <v>0</v>
      </c>
      <c r="M155" s="63" t="str">
        <f>HYPERLINK("http://www.sapphireav.com/Sapphire-Rapid-Fold-Front-Projection-Viewing-Area-5000mm-x-3750mm_p_149.html", "Click for Web Link")</f>
        <v>Click for Web Link</v>
      </c>
      <c r="N155" s="100">
        <v>52</v>
      </c>
      <c r="O155" s="69" t="s">
        <v>298</v>
      </c>
      <c r="S155" s="11"/>
    </row>
    <row r="156" spans="1:19" x14ac:dyDescent="0.35">
      <c r="A156">
        <v>493</v>
      </c>
      <c r="C156" s="23" t="s">
        <v>519</v>
      </c>
      <c r="D156" s="88">
        <v>5060558503991</v>
      </c>
      <c r="E156" t="s">
        <v>696</v>
      </c>
      <c r="F156" t="s">
        <v>248</v>
      </c>
      <c r="G156" t="s">
        <v>295</v>
      </c>
      <c r="H156" s="25" t="s">
        <v>218</v>
      </c>
      <c r="I156" t="s">
        <v>601</v>
      </c>
      <c r="J156" t="s">
        <v>683</v>
      </c>
      <c r="L156" s="30">
        <f>IF(ISNA(INDEX('DO NOT OPEN'!D:D,MATCH(C156,'DO NOT OPEN'!A:A,0),0)),"No Stock",INDEX('DO NOT OPEN'!D:D,MATCH(C156,'DO NOT OPEN'!A:A,0),0))</f>
        <v>1</v>
      </c>
      <c r="M156" s="68" t="str">
        <f>HYPERLINK("http://www.sapphireav.com/Sapphire-5m-Rapid-Fold-Front-Fabric-Only-43-format_p_667.html", "Click for Web Link")</f>
        <v>Click for Web Link</v>
      </c>
      <c r="N156" s="100">
        <v>9.8000000000000007</v>
      </c>
      <c r="O156" s="69">
        <v>12</v>
      </c>
      <c r="S156" s="11"/>
    </row>
    <row r="157" spans="1:19" x14ac:dyDescent="0.35">
      <c r="A157">
        <v>494</v>
      </c>
      <c r="C157" s="23" t="s">
        <v>164</v>
      </c>
      <c r="D157" s="86">
        <v>5060558503663</v>
      </c>
      <c r="E157" t="s">
        <v>241</v>
      </c>
      <c r="F157" t="s">
        <v>248</v>
      </c>
      <c r="G157" t="s">
        <v>295</v>
      </c>
      <c r="H157" s="25" t="s">
        <v>218</v>
      </c>
      <c r="I157" t="s">
        <v>601</v>
      </c>
      <c r="J157" t="s">
        <v>289</v>
      </c>
      <c r="K157" t="s">
        <v>636</v>
      </c>
      <c r="L157" s="30">
        <f>IF(ISNA(INDEX('DO NOT OPEN'!D:D,MATCH(C157,'DO NOT OPEN'!A:A,0),0)),"No Stock",INDEX('DO NOT OPEN'!D:D,MATCH(C157,'DO NOT OPEN'!A:A,0),0))</f>
        <v>1</v>
      </c>
      <c r="M157" s="63" t="str">
        <f>HYPERLINK("http://www.sapphireav.com/Sapphire-Rear-Projection-Rapid-Fold-Viewing-Area-5080mm-x-3810mm_p_527.html", "Click for Web Link")</f>
        <v>Click for Web Link</v>
      </c>
      <c r="N157" s="100">
        <v>76</v>
      </c>
      <c r="O157" s="69" t="s">
        <v>298</v>
      </c>
      <c r="S157" s="11"/>
    </row>
    <row r="158" spans="1:19" x14ac:dyDescent="0.35">
      <c r="A158">
        <v>495</v>
      </c>
      <c r="C158" s="23" t="s">
        <v>520</v>
      </c>
      <c r="D158" s="88">
        <v>5060558502871</v>
      </c>
      <c r="E158" t="s">
        <v>696</v>
      </c>
      <c r="F158" t="s">
        <v>248</v>
      </c>
      <c r="G158" t="s">
        <v>295</v>
      </c>
      <c r="H158" s="25" t="s">
        <v>218</v>
      </c>
      <c r="I158" t="s">
        <v>293</v>
      </c>
      <c r="J158" t="s">
        <v>683</v>
      </c>
      <c r="L158" s="30">
        <f>IF(ISNA(INDEX('DO NOT OPEN'!D:D,MATCH(C158,'DO NOT OPEN'!A:A,0),0)),"No Stock",INDEX('DO NOT OPEN'!D:D,MATCH(C158,'DO NOT OPEN'!A:A,0),0))</f>
        <v>0</v>
      </c>
      <c r="M158" s="68" t="str">
        <f>HYPERLINK("http://www.sapphireav.com/Sapphire-5m-Rapid-Fold-Rear-Fabric-Only-43-Format_p_668.html", "Click for Web Link")</f>
        <v>Click for Web Link</v>
      </c>
      <c r="N158" s="100">
        <v>9.8000000000000007</v>
      </c>
      <c r="O158" s="69">
        <v>12</v>
      </c>
      <c r="S158" s="11"/>
    </row>
    <row r="159" spans="1:19" x14ac:dyDescent="0.35">
      <c r="A159">
        <v>496</v>
      </c>
      <c r="C159" t="s">
        <v>96</v>
      </c>
      <c r="D159" s="86">
        <v>5060558502536</v>
      </c>
      <c r="E159" t="s">
        <v>241</v>
      </c>
      <c r="F159" t="s">
        <v>247</v>
      </c>
      <c r="G159" t="s">
        <v>269</v>
      </c>
      <c r="H159" s="25" t="s">
        <v>218</v>
      </c>
      <c r="I159" t="s">
        <v>601</v>
      </c>
      <c r="J159" t="s">
        <v>278</v>
      </c>
      <c r="L159" s="30">
        <f>IF(ISNA(INDEX('DO NOT OPEN'!D:D,MATCH(C159,'DO NOT OPEN'!A:A,0),0)),"No Stock",INDEX('DO NOT OPEN'!D:D,MATCH(C159,'DO NOT OPEN'!A:A,0),0))</f>
        <v>18</v>
      </c>
      <c r="M159" s="63" t="str">
        <f>HYPERLINK("http://www.sapphireav.com/Sapphire-Portable-Pull-up-Screen-Viewing-Area-1220-x-900-Approx-Case-Dimensions-L-1380mm-x-H-83mm-x-D-61mm_p_243.html", "Click for Web Link")</f>
        <v>Click for Web Link</v>
      </c>
      <c r="N159" s="100">
        <v>4.5999999999999996</v>
      </c>
      <c r="O159" s="69">
        <v>12</v>
      </c>
      <c r="S159" s="11"/>
    </row>
    <row r="160" spans="1:19" x14ac:dyDescent="0.35">
      <c r="A160">
        <v>497</v>
      </c>
      <c r="C160" t="s">
        <v>104</v>
      </c>
      <c r="D160" s="86">
        <v>5060558502543</v>
      </c>
      <c r="E160" t="s">
        <v>241</v>
      </c>
      <c r="F160" t="s">
        <v>247</v>
      </c>
      <c r="G160" t="s">
        <v>269</v>
      </c>
      <c r="H160" s="25" t="s">
        <v>218</v>
      </c>
      <c r="I160" t="s">
        <v>601</v>
      </c>
      <c r="J160" t="s">
        <v>277</v>
      </c>
      <c r="L160" s="30">
        <f>IF(ISNA(INDEX('DO NOT OPEN'!D:D,MATCH(C160,'DO NOT OPEN'!A:A,0),0)),"No Stock",INDEX('DO NOT OPEN'!D:D,MATCH(C160,'DO NOT OPEN'!A:A,0),0))</f>
        <v>0</v>
      </c>
      <c r="M160" s="63" t="str">
        <f>HYPERLINK("http://www.sapphireav.com/Sapphire-Portable-Pull-up-Projection-Screen-VALUE-RANGE-Approx-Case-Dimensions-L-1380mm-x-H-83mm-x-D-61mm_p_268.html", "Click for Web Link")</f>
        <v>Click for Web Link</v>
      </c>
      <c r="N160" s="100">
        <v>4.5999999999999996</v>
      </c>
      <c r="O160" s="69">
        <v>12</v>
      </c>
      <c r="S160" s="11"/>
    </row>
    <row r="161" spans="1:19" x14ac:dyDescent="0.35">
      <c r="A161">
        <v>498</v>
      </c>
      <c r="C161" s="23" t="s">
        <v>98</v>
      </c>
      <c r="D161" s="86">
        <v>5060558502550</v>
      </c>
      <c r="E161" t="s">
        <v>241</v>
      </c>
      <c r="F161" t="s">
        <v>247</v>
      </c>
      <c r="G161" t="s">
        <v>269</v>
      </c>
      <c r="H161" s="25" t="s">
        <v>219</v>
      </c>
      <c r="I161" t="s">
        <v>601</v>
      </c>
      <c r="J161" t="s">
        <v>278</v>
      </c>
      <c r="L161" s="30">
        <f>IF(ISNA(INDEX('DO NOT OPEN'!D:D,MATCH(C161,'DO NOT OPEN'!A:A,0),0)),"No Stock",INDEX('DO NOT OPEN'!D:D,MATCH(C161,'DO NOT OPEN'!A:A,0),0))</f>
        <v>6</v>
      </c>
      <c r="M161" s="63" t="str">
        <f>HYPERLINK("http://www.sapphireav.com/Sapphire-Portable-Pull-up-Screen-Viewing-Area-1328-x-747-Approx-Case-Dimensions-L-1380mm-x-H-83mm-x-D-61mm_p_245.html", "Click for Web Link")</f>
        <v>Click for Web Link</v>
      </c>
      <c r="N161" s="100">
        <v>4.7</v>
      </c>
      <c r="O161" s="69">
        <v>12</v>
      </c>
      <c r="S161" s="11"/>
    </row>
    <row r="162" spans="1:19" x14ac:dyDescent="0.35">
      <c r="A162">
        <v>499</v>
      </c>
      <c r="C162" t="s">
        <v>204</v>
      </c>
      <c r="D162" s="86">
        <v>5060558501256</v>
      </c>
      <c r="E162" t="s">
        <v>241</v>
      </c>
      <c r="F162" t="s">
        <v>247</v>
      </c>
      <c r="G162" t="s">
        <v>269</v>
      </c>
      <c r="H162" s="25" t="s">
        <v>220</v>
      </c>
      <c r="I162" t="s">
        <v>601</v>
      </c>
      <c r="J162" t="s">
        <v>278</v>
      </c>
      <c r="L162" s="30">
        <f>IF(ISNA(INDEX('DO NOT OPEN'!D:D,MATCH(C162,'DO NOT OPEN'!A:A,0),0)),"No Stock",INDEX('DO NOT OPEN'!D:D,MATCH(C162,'DO NOT OPEN'!A:A,0),0))</f>
        <v>0</v>
      </c>
      <c r="M162" s="63" t="str">
        <f>HYPERLINK("http://www.sapphireav.com/Sapphire-Portable-Pull-up-Screen-Viewing-Area-1292-x-808mm-Approx-Case-Dimensions-L-1380mm-x-H-83mm-x-D-61mm_p_585.html", "Click for Web Link")</f>
        <v>Click for Web Link</v>
      </c>
      <c r="N162" s="100">
        <v>4.7</v>
      </c>
      <c r="O162" s="69">
        <v>12</v>
      </c>
      <c r="S162" s="11"/>
    </row>
    <row r="163" spans="1:19" x14ac:dyDescent="0.35">
      <c r="A163">
        <v>503</v>
      </c>
      <c r="C163" s="23" t="s">
        <v>97</v>
      </c>
      <c r="D163" s="86">
        <v>5060558502567</v>
      </c>
      <c r="E163" t="s">
        <v>241</v>
      </c>
      <c r="F163" t="s">
        <v>247</v>
      </c>
      <c r="G163" t="s">
        <v>268</v>
      </c>
      <c r="H163" s="25" t="s">
        <v>218</v>
      </c>
      <c r="I163" t="s">
        <v>601</v>
      </c>
      <c r="J163" t="s">
        <v>278</v>
      </c>
      <c r="L163" s="30">
        <f>IF(ISNA(INDEX('DO NOT OPEN'!D:D,MATCH(C163,'DO NOT OPEN'!A:A,0),0)),"No Stock",INDEX('DO NOT OPEN'!D:D,MATCH(C163,'DO NOT OPEN'!A:A,0),0))</f>
        <v>15</v>
      </c>
      <c r="M163" s="63" t="str">
        <f>HYPERLINK("http://www.sapphireav.com/Sapphire-Portable-Pull-up-Screen-Viewing-Area-1630-x-1220-Approx-Case-Dimensions-L-1930mm-x-H-83mm-x-D-61mm_p_244.html", "Click for Web Link")</f>
        <v>Click for Web Link</v>
      </c>
      <c r="N163" s="100">
        <v>7.67</v>
      </c>
      <c r="O163" s="69">
        <v>12</v>
      </c>
      <c r="S163" s="11"/>
    </row>
    <row r="164" spans="1:19" x14ac:dyDescent="0.35">
      <c r="A164">
        <v>504</v>
      </c>
      <c r="C164" s="23" t="s">
        <v>106</v>
      </c>
      <c r="D164" s="86">
        <v>5060558502574</v>
      </c>
      <c r="E164" t="s">
        <v>241</v>
      </c>
      <c r="F164" t="s">
        <v>247</v>
      </c>
      <c r="G164" t="s">
        <v>268</v>
      </c>
      <c r="H164" s="25" t="s">
        <v>218</v>
      </c>
      <c r="I164" t="s">
        <v>601</v>
      </c>
      <c r="J164" t="s">
        <v>277</v>
      </c>
      <c r="L164" s="30">
        <f>IF(ISNA(INDEX('DO NOT OPEN'!D:D,MATCH(C164,'DO NOT OPEN'!A:A,0),0)),"No Stock",INDEX('DO NOT OPEN'!D:D,MATCH(C164,'DO NOT OPEN'!A:A,0),0))</f>
        <v>1</v>
      </c>
      <c r="M164" s="63" t="str">
        <f>HYPERLINK("http://www.sapphireav.com/Sapphire-Portable-Pull-up-80-Projection-Screen-1625m-x-122m-VALUE-RANGE-Approx-Case-Dimensions-L-1785mm-x-H-83mm-x-D-61mm_p_270.html", "Click for Web Link")</f>
        <v>Click for Web Link</v>
      </c>
      <c r="N164" s="100">
        <v>6</v>
      </c>
      <c r="O164" s="69">
        <v>12</v>
      </c>
      <c r="S164" s="11"/>
    </row>
    <row r="165" spans="1:19" x14ac:dyDescent="0.35">
      <c r="A165">
        <v>505</v>
      </c>
      <c r="C165" s="23" t="s">
        <v>99</v>
      </c>
      <c r="D165" s="86">
        <v>5060558502581</v>
      </c>
      <c r="E165" t="s">
        <v>241</v>
      </c>
      <c r="F165" t="s">
        <v>247</v>
      </c>
      <c r="G165" t="s">
        <v>268</v>
      </c>
      <c r="H165" s="25" t="s">
        <v>219</v>
      </c>
      <c r="I165" t="s">
        <v>601</v>
      </c>
      <c r="J165" t="s">
        <v>278</v>
      </c>
      <c r="L165" s="30">
        <f>IF(ISNA(INDEX('DO NOT OPEN'!D:D,MATCH(C165,'DO NOT OPEN'!A:A,0),0)),"No Stock",INDEX('DO NOT OPEN'!D:D,MATCH(C165,'DO NOT OPEN'!A:A,0),0))</f>
        <v>15</v>
      </c>
      <c r="M165" s="63" t="str">
        <f>HYPERLINK("http://www.sapphireav.com/Sapphire-Portable-Pull-up-Screen-Viewing-Area-1770-x-995-Approx-Case-Dimensions-L-1930mm-x-H-83mm-x-D-61mm_p_246.html", "Click for Web Link")</f>
        <v>Click for Web Link</v>
      </c>
      <c r="N165" s="100">
        <v>7.95</v>
      </c>
      <c r="O165" s="69">
        <v>12</v>
      </c>
      <c r="S165" s="11"/>
    </row>
    <row r="166" spans="1:19" x14ac:dyDescent="0.35">
      <c r="A166">
        <v>506</v>
      </c>
      <c r="C166" s="23" t="s">
        <v>205</v>
      </c>
      <c r="D166" s="86">
        <v>5060558501270</v>
      </c>
      <c r="E166" t="s">
        <v>241</v>
      </c>
      <c r="F166" t="s">
        <v>247</v>
      </c>
      <c r="G166" t="s">
        <v>268</v>
      </c>
      <c r="H166" s="25" t="s">
        <v>220</v>
      </c>
      <c r="I166" t="s">
        <v>601</v>
      </c>
      <c r="J166" t="s">
        <v>278</v>
      </c>
      <c r="L166" s="30">
        <f>IF(ISNA(INDEX('DO NOT OPEN'!D:D,MATCH(C166,'DO NOT OPEN'!A:A,0),0)),"No Stock",INDEX('DO NOT OPEN'!D:D,MATCH(C166,'DO NOT OPEN'!A:A,0),0))</f>
        <v>9</v>
      </c>
      <c r="M166" s="63" t="str">
        <f>HYPERLINK("http://www.sapphireav.com/Sapphire-Portable-Pull-up-Screen-Viewing-Area-1723-x-1077mm-Approx-Case-Dimensions-L-1930mm-x-H-83mm-x-D-61mm_p_586.html", "Click for Web Link")</f>
        <v>Click for Web Link</v>
      </c>
      <c r="N166" s="100">
        <v>7.95</v>
      </c>
      <c r="O166" s="69">
        <v>12</v>
      </c>
      <c r="S166" s="11"/>
    </row>
    <row r="167" spans="1:19" x14ac:dyDescent="0.35">
      <c r="C167" s="23" t="s">
        <v>107</v>
      </c>
      <c r="D167" s="86">
        <v>5060558502598</v>
      </c>
      <c r="E167" t="s">
        <v>241</v>
      </c>
      <c r="F167" t="s">
        <v>247</v>
      </c>
      <c r="G167" t="s">
        <v>268</v>
      </c>
      <c r="H167" s="25" t="s">
        <v>219</v>
      </c>
      <c r="I167" t="s">
        <v>601</v>
      </c>
      <c r="J167" t="s">
        <v>278</v>
      </c>
      <c r="L167" s="30">
        <f>IF(ISNA(INDEX('DO NOT OPEN'!D:D,MATCH(C167,'DO NOT OPEN'!A:A,0),0)),"No Stock",INDEX('DO NOT OPEN'!D:D,MATCH(C167,'DO NOT OPEN'!A:A,0),0))</f>
        <v>5</v>
      </c>
      <c r="M167" s="63" t="str">
        <f>HYPERLINK("http://www.sapphireav.com/Sapphire-Portable-Pull-up-80-Projection-Screen-Viewing-Area-1770-x-995-VALUE-RANGE-Approx-Case-Dimensions-L-1930mm-x-H-83mm-x-D-61mm_p_271.html", "Click for Web Link")</f>
        <v>Click for Web Link</v>
      </c>
      <c r="N167" s="100">
        <v>6.1</v>
      </c>
      <c r="O167" s="69">
        <v>12</v>
      </c>
      <c r="S167" s="11"/>
    </row>
    <row r="168" spans="1:19" x14ac:dyDescent="0.35">
      <c r="C168" s="23" t="s">
        <v>4</v>
      </c>
      <c r="D168" s="86">
        <v>5060558502604</v>
      </c>
      <c r="E168" t="s">
        <v>241</v>
      </c>
      <c r="F168" t="s">
        <v>247</v>
      </c>
      <c r="G168" t="s">
        <v>256</v>
      </c>
      <c r="H168" s="25" t="s">
        <v>218</v>
      </c>
      <c r="I168" t="s">
        <v>601</v>
      </c>
      <c r="J168" t="s">
        <v>278</v>
      </c>
      <c r="L168" s="30">
        <f>IF(ISNA(INDEX('DO NOT OPEN'!D:D,MATCH(C168,'DO NOT OPEN'!A:A,0),0)),"No Stock",INDEX('DO NOT OPEN'!D:D,MATCH(C168,'DO NOT OPEN'!A:A,0),0))</f>
        <v>13</v>
      </c>
      <c r="M168" s="63" t="str">
        <f>HYPERLINK("http://www.sapphireav.com/Sapphire-20m-wide-self-supporting-mobile-screen-Approx-Case-Dimensions-L-2192mm-x-H-83mm-x-61mm_p_18.html", "Click for Web Link")</f>
        <v>Click for Web Link</v>
      </c>
      <c r="N168" s="100">
        <v>9.67</v>
      </c>
      <c r="O168" s="69">
        <v>12</v>
      </c>
      <c r="S168" s="11"/>
    </row>
    <row r="169" spans="1:19" x14ac:dyDescent="0.35">
      <c r="A169">
        <v>507</v>
      </c>
      <c r="C169" s="23" t="s">
        <v>105</v>
      </c>
      <c r="D169" s="86">
        <v>5060558502611</v>
      </c>
      <c r="E169" t="s">
        <v>241</v>
      </c>
      <c r="F169" t="s">
        <v>247</v>
      </c>
      <c r="G169" t="s">
        <v>256</v>
      </c>
      <c r="H169" s="25" t="s">
        <v>218</v>
      </c>
      <c r="I169" t="s">
        <v>601</v>
      </c>
      <c r="J169" t="s">
        <v>277</v>
      </c>
      <c r="L169" s="30">
        <f>IF(ISNA(INDEX('DO NOT OPEN'!D:D,MATCH(C169,'DO NOT OPEN'!A:A,0),0)),"No Stock",INDEX('DO NOT OPEN'!D:D,MATCH(C169,'DO NOT OPEN'!A:A,0),0))</f>
        <v>7</v>
      </c>
      <c r="M169" s="63" t="str">
        <f>HYPERLINK("http://www.sapphireav.com/Sapphire-Portable-Pull-up-100-Projection-Screen-198m-x-149m-VALUE-RANGE-Approx-Case-Dimensions-L-2192mm-x-H-83mm-x-61mm_p_269.html", "Click for Web Link")</f>
        <v>Click for Web Link</v>
      </c>
      <c r="N169" s="100">
        <v>7.9</v>
      </c>
      <c r="O169" s="69">
        <v>12</v>
      </c>
      <c r="S169" s="11"/>
    </row>
    <row r="170" spans="1:19" x14ac:dyDescent="0.35">
      <c r="C170" s="23" t="s">
        <v>100</v>
      </c>
      <c r="D170" s="86">
        <v>5060558502628</v>
      </c>
      <c r="E170" t="s">
        <v>241</v>
      </c>
      <c r="F170" t="s">
        <v>247</v>
      </c>
      <c r="G170" t="s">
        <v>256</v>
      </c>
      <c r="H170" s="25" t="s">
        <v>219</v>
      </c>
      <c r="I170" t="s">
        <v>601</v>
      </c>
      <c r="J170" t="s">
        <v>278</v>
      </c>
      <c r="L170" s="30">
        <f>IF(ISNA(INDEX('DO NOT OPEN'!D:D,MATCH(C170,'DO NOT OPEN'!A:A,0),0)),"No Stock",INDEX('DO NOT OPEN'!D:D,MATCH(C170,'DO NOT OPEN'!A:A,0),0))</f>
        <v>25</v>
      </c>
      <c r="M170" s="63" t="str">
        <f>HYPERLINK("http://www.sapphireav.com/Sapphire-Pull-up-screen-92-widescreen-Viewing-Area-2030mm-x-1145mm-Approx-Case-Dimensions-L-2192mm-x-H-83mm-x-61mm_p_250.html", "Click for Web Link")</f>
        <v>Click for Web Link</v>
      </c>
      <c r="N170" s="100">
        <v>8.7799999999999994</v>
      </c>
      <c r="O170" s="69">
        <v>15</v>
      </c>
      <c r="S170" s="11"/>
    </row>
    <row r="171" spans="1:19" x14ac:dyDescent="0.35">
      <c r="A171">
        <v>508</v>
      </c>
      <c r="C171" s="23" t="s">
        <v>209</v>
      </c>
      <c r="D171" s="86">
        <v>5060558501515</v>
      </c>
      <c r="E171" t="s">
        <v>241</v>
      </c>
      <c r="F171" t="s">
        <v>247</v>
      </c>
      <c r="G171" t="s">
        <v>256</v>
      </c>
      <c r="H171" s="25" t="s">
        <v>220</v>
      </c>
      <c r="I171" t="s">
        <v>601</v>
      </c>
      <c r="J171" t="s">
        <v>278</v>
      </c>
      <c r="L171" s="30">
        <f>IF(ISNA(INDEX('DO NOT OPEN'!D:D,MATCH(C171,'DO NOT OPEN'!A:A,0),0)),"No Stock",INDEX('DO NOT OPEN'!D:D,MATCH(C171,'DO NOT OPEN'!A:A,0),0))</f>
        <v>19</v>
      </c>
      <c r="M171" s="63" t="str">
        <f>HYPERLINK("http://www.sapphireav.com/Sapphire-Pull-up-screen-1610-Viewing-Area-1982mm-x-1239mm-Approx-Case-Dimensions-L-2192mm-x-H-83mm-x-61mm_p_626.html", "Click for Web Link")</f>
        <v>Click for Web Link</v>
      </c>
      <c r="N171" s="100">
        <v>8.7799999999999994</v>
      </c>
      <c r="O171" s="69">
        <v>12</v>
      </c>
      <c r="S171" s="11"/>
    </row>
    <row r="172" spans="1:19" x14ac:dyDescent="0.35">
      <c r="A172">
        <v>509</v>
      </c>
      <c r="C172" s="23" t="s">
        <v>108</v>
      </c>
      <c r="D172" s="86">
        <v>5060558502635</v>
      </c>
      <c r="E172" t="s">
        <v>241</v>
      </c>
      <c r="F172" t="s">
        <v>247</v>
      </c>
      <c r="G172" t="s">
        <v>256</v>
      </c>
      <c r="H172" s="25" t="s">
        <v>219</v>
      </c>
      <c r="I172" t="s">
        <v>601</v>
      </c>
      <c r="J172" t="s">
        <v>277</v>
      </c>
      <c r="L172" s="30">
        <f>IF(ISNA(INDEX('DO NOT OPEN'!D:D,MATCH(C172,'DO NOT OPEN'!A:A,0),0)),"No Stock",INDEX('DO NOT OPEN'!D:D,MATCH(C172,'DO NOT OPEN'!A:A,0),0))</f>
        <v>1</v>
      </c>
      <c r="M172" s="63" t="str">
        <f>HYPERLINK("http://www.sapphireav.com/Sapphire-Portable-Pull-up-92-Projection-Screen-2030-x-1145-VALUE-RANGE-Approx-Case-Dimensions-L-2192mm-x-H-83mm-x-61mm_p_272.html", "Click for Web Link")</f>
        <v>Click for Web Link</v>
      </c>
      <c r="N172" s="100">
        <v>8.4</v>
      </c>
      <c r="O172" s="69">
        <v>12</v>
      </c>
      <c r="S172" s="11"/>
    </row>
    <row r="173" spans="1:19" x14ac:dyDescent="0.35">
      <c r="A173">
        <v>510</v>
      </c>
      <c r="C173" s="23" t="s">
        <v>90</v>
      </c>
      <c r="D173" s="86">
        <v>5060558502895</v>
      </c>
      <c r="E173" t="s">
        <v>243</v>
      </c>
      <c r="G173" t="s">
        <v>267</v>
      </c>
      <c r="H173" s="25" t="s">
        <v>218</v>
      </c>
      <c r="I173" t="s">
        <v>293</v>
      </c>
      <c r="L173" s="30">
        <f>IF(ISNA(INDEX('DO NOT OPEN'!D:D,MATCH(C173,'DO NOT OPEN'!A:A,0),0)),"No Stock",INDEX('DO NOT OPEN'!D:D,MATCH(C173,'DO NOT OPEN'!A:A,0),0))</f>
        <v>2</v>
      </c>
      <c r="M173" s="63" t="str">
        <f>HYPERLINK("http://www.sapphireav.com/Sapphire-Fixed-Frame-Rear-Projection-Screen-Viewing-Area-1707mm-x-1280mm-43-Format_p_165.html", "Click for Web Link")</f>
        <v>Click for Web Link</v>
      </c>
      <c r="N173" s="100">
        <v>10</v>
      </c>
      <c r="O173" s="69">
        <v>12</v>
      </c>
    </row>
    <row r="174" spans="1:19" x14ac:dyDescent="0.35">
      <c r="A174">
        <v>512</v>
      </c>
      <c r="C174" s="23" t="s">
        <v>91</v>
      </c>
      <c r="D174" s="86">
        <v>5060558502901</v>
      </c>
      <c r="E174" t="s">
        <v>243</v>
      </c>
      <c r="G174" t="s">
        <v>272</v>
      </c>
      <c r="H174" s="25" t="s">
        <v>218</v>
      </c>
      <c r="I174" t="s">
        <v>293</v>
      </c>
      <c r="K174" t="s">
        <v>636</v>
      </c>
      <c r="L174" s="30">
        <f>IF(ISNA(INDEX('DO NOT OPEN'!D:D,MATCH(C174,'DO NOT OPEN'!A:A,0),0)),"No Stock",INDEX('DO NOT OPEN'!D:D,MATCH(C174,'DO NOT OPEN'!A:A,0),0))</f>
        <v>1</v>
      </c>
      <c r="M174" s="63" t="str">
        <f>HYPERLINK("http://www.sapphireav.com/Sapphire-Fixed-Frame-Rear-Projection-Screen-Viewing-Area-3048mm-x-2286mm-43-Format-Approx-Overall-Dimensions-L-3500mm-x-H-2446mm-x-D-35mm_p_231.html", "Click for Web Link")</f>
        <v>Click for Web Link</v>
      </c>
      <c r="N174" s="100">
        <v>18.5</v>
      </c>
      <c r="O174" s="69">
        <v>30</v>
      </c>
    </row>
    <row r="175" spans="1:19" x14ac:dyDescent="0.35">
      <c r="A175">
        <v>516</v>
      </c>
      <c r="C175" s="23" t="s">
        <v>101</v>
      </c>
      <c r="D175" s="86">
        <v>5060558502925</v>
      </c>
      <c r="E175" t="s">
        <v>243</v>
      </c>
      <c r="G175" t="s">
        <v>267</v>
      </c>
      <c r="H175" s="25" t="s">
        <v>219</v>
      </c>
      <c r="I175" t="s">
        <v>601</v>
      </c>
      <c r="L175" s="30">
        <f>IF(ISNA(INDEX('DO NOT OPEN'!D:D,MATCH(C175,'DO NOT OPEN'!A:A,0),0)),"No Stock",INDEX('DO NOT OPEN'!D:D,MATCH(C175,'DO NOT OPEN'!A:A,0),0))</f>
        <v>15</v>
      </c>
      <c r="M175" s="63" t="str">
        <f>HYPERLINK("http://www.sapphireav.com/Sapphire-Fixed-Frame-Front-Projection-Screen-Viewing-Area-1710x-960mm-169-Format_p_261.html", "Click for Web Link")</f>
        <v>Click for Web Link</v>
      </c>
      <c r="N175" s="100">
        <v>8.9</v>
      </c>
      <c r="O175" s="69">
        <v>12</v>
      </c>
    </row>
    <row r="176" spans="1:19" x14ac:dyDescent="0.35">
      <c r="A176">
        <v>518</v>
      </c>
      <c r="C176" s="23" t="s">
        <v>115</v>
      </c>
      <c r="D176" s="86">
        <v>5060558503045</v>
      </c>
      <c r="E176" t="s">
        <v>243</v>
      </c>
      <c r="G176" t="s">
        <v>267</v>
      </c>
      <c r="H176" s="25" t="s">
        <v>220</v>
      </c>
      <c r="I176" t="s">
        <v>601</v>
      </c>
      <c r="L176" s="30">
        <f>IF(ISNA(INDEX('DO NOT OPEN'!D:D,MATCH(C176,'DO NOT OPEN'!A:A,0),0)),"No Stock",INDEX('DO NOT OPEN'!D:D,MATCH(C176,'DO NOT OPEN'!A:A,0),0))</f>
        <v>25</v>
      </c>
      <c r="M176" s="63" t="str">
        <f>HYPERLINK("http://www.sapphireav.com/Sapphire-Fixed-Frame-Front-Projection-Screen-Viewing-Area-1710mm-x-1068mm-1610-Format_p_427.html", "Click for Web Link")</f>
        <v>Click for Web Link</v>
      </c>
      <c r="N176" s="100">
        <v>8.9</v>
      </c>
      <c r="O176" s="69">
        <v>12</v>
      </c>
    </row>
    <row r="177" spans="1:15" x14ac:dyDescent="0.35">
      <c r="A177">
        <v>519</v>
      </c>
      <c r="C177" s="23" t="s">
        <v>707</v>
      </c>
      <c r="D177" s="86">
        <v>5060558501737</v>
      </c>
      <c r="E177" t="s">
        <v>243</v>
      </c>
      <c r="G177" t="s">
        <v>267</v>
      </c>
      <c r="H177" s="25" t="s">
        <v>219</v>
      </c>
      <c r="I177" t="s">
        <v>294</v>
      </c>
      <c r="L177" s="30">
        <f>IF(ISNA(INDEX('DO NOT OPEN'!D:D,MATCH(C177,'DO NOT OPEN'!A:A,0),0)),"No Stock",INDEX('DO NOT OPEN'!D:D,MATCH(C177,'DO NOT OPEN'!A:A,0),0))</f>
        <v>2</v>
      </c>
      <c r="M177" s="63" t="str">
        <f>HYPERLINK("HTTP://www.sapphireav.com/Acoustically-Transparent-Sapphire-Fixed-Frame-Front-Projection-Screen-Viewing-Area-1707mm-x-960mm-169-Format_p_680.html","Click for Web Link")</f>
        <v>Click for Web Link</v>
      </c>
      <c r="N177" s="100">
        <v>8.9</v>
      </c>
      <c r="O177" s="69">
        <v>12</v>
      </c>
    </row>
    <row r="178" spans="1:15" x14ac:dyDescent="0.35">
      <c r="A178">
        <v>521</v>
      </c>
      <c r="C178" s="23" t="s">
        <v>95</v>
      </c>
      <c r="D178" s="86">
        <v>5060558502932</v>
      </c>
      <c r="E178" t="s">
        <v>243</v>
      </c>
      <c r="G178" t="s">
        <v>266</v>
      </c>
      <c r="H178" s="25" t="s">
        <v>219</v>
      </c>
      <c r="I178" t="s">
        <v>601</v>
      </c>
      <c r="L178" s="30">
        <f>IF(ISNA(INDEX('DO NOT OPEN'!D:D,MATCH(C178,'DO NOT OPEN'!A:A,0),0)),"No Stock",INDEX('DO NOT OPEN'!D:D,MATCH(C178,'DO NOT OPEN'!A:A,0),0))</f>
        <v>10</v>
      </c>
      <c r="M178" s="63" t="str">
        <f>HYPERLINK("http://www.sapphireav.com/Sapphire-Fixed-Frame-Front-Projection-Screen-Viewing-Area-2037mm-x-1145mm-169-Format_p_241.html", "Click for Web Link")</f>
        <v>Click for Web Link</v>
      </c>
      <c r="N178" s="100">
        <v>11</v>
      </c>
      <c r="O178" s="69">
        <v>12</v>
      </c>
    </row>
    <row r="179" spans="1:15" x14ac:dyDescent="0.35">
      <c r="A179">
        <v>523</v>
      </c>
      <c r="C179" s="23" t="s">
        <v>113</v>
      </c>
      <c r="D179" s="86">
        <v>5060558503052</v>
      </c>
      <c r="E179" t="s">
        <v>243</v>
      </c>
      <c r="G179" t="s">
        <v>266</v>
      </c>
      <c r="H179" s="25" t="s">
        <v>220</v>
      </c>
      <c r="I179" t="s">
        <v>601</v>
      </c>
      <c r="L179" s="30">
        <f>IF(ISNA(INDEX('DO NOT OPEN'!D:D,MATCH(C179,'DO NOT OPEN'!A:A,0),0)),"No Stock",INDEX('DO NOT OPEN'!D:D,MATCH(C179,'DO NOT OPEN'!A:A,0),0))</f>
        <v>26</v>
      </c>
      <c r="M179" s="63" t="str">
        <f>HYPERLINK("http://www.sapphireav.com/Sapphire-Fixed-Frame-Front-Projection-Screen-Viewing-Area-2037mm-x-1273mm-1610-Format_p_335.html", "Click for Web Link")</f>
        <v>Click for Web Link</v>
      </c>
      <c r="N179" s="100">
        <v>11</v>
      </c>
      <c r="O179" s="69">
        <v>12</v>
      </c>
    </row>
    <row r="180" spans="1:15" x14ac:dyDescent="0.35">
      <c r="A180">
        <v>524</v>
      </c>
      <c r="C180" s="23" t="s">
        <v>210</v>
      </c>
      <c r="D180" s="86">
        <v>5060558501454</v>
      </c>
      <c r="E180" t="s">
        <v>243</v>
      </c>
      <c r="G180" t="s">
        <v>266</v>
      </c>
      <c r="H180" s="25" t="s">
        <v>220</v>
      </c>
      <c r="I180" t="s">
        <v>601</v>
      </c>
      <c r="L180" s="30">
        <f>IF(ISNA(INDEX('DO NOT OPEN'!D:D,MATCH(C180,'DO NOT OPEN'!A:A,0),0)),"No Stock",INDEX('DO NOT OPEN'!D:D,MATCH(C180,'DO NOT OPEN'!A:A,0),0))</f>
        <v>7</v>
      </c>
      <c r="M180" s="63" t="str">
        <f>HYPERLINK("http://www.sapphireav.com/Sapphire-Slim-Bezel-Fixed-Frame-Screen-Viewing-Area-2037-x-1273mm-1610-format_p_629.html", "Click for Web Link")</f>
        <v>Click for Web Link</v>
      </c>
      <c r="N180" s="100">
        <v>6.9</v>
      </c>
      <c r="O180" s="69">
        <v>12</v>
      </c>
    </row>
    <row r="181" spans="1:15" x14ac:dyDescent="0.35">
      <c r="A181">
        <v>525</v>
      </c>
      <c r="C181" s="23" t="s">
        <v>181</v>
      </c>
      <c r="D181" s="86">
        <v>5060558503472</v>
      </c>
      <c r="E181" t="s">
        <v>243</v>
      </c>
      <c r="G181" t="s">
        <v>266</v>
      </c>
      <c r="H181" s="25" t="s">
        <v>219</v>
      </c>
      <c r="I181" t="s">
        <v>601</v>
      </c>
      <c r="L181" s="30">
        <f>IF(ISNA(INDEX('DO NOT OPEN'!D:D,MATCH(C181,'DO NOT OPEN'!A:A,0),0)),"No Stock",INDEX('DO NOT OPEN'!D:D,MATCH(C181,'DO NOT OPEN'!A:A,0),0))</f>
        <v>1</v>
      </c>
      <c r="M181" s="63" t="str">
        <f>HYPERLINK("http://www.sapphireav.com/Sapphire-Fixed-Frame-Front-Projection-2D-and-3D-2037mm-x-1145mm-169-Format_p_554.html", "Click for Web Link")</f>
        <v>Click for Web Link</v>
      </c>
      <c r="N181" s="100">
        <v>18</v>
      </c>
      <c r="O181" s="69">
        <v>12</v>
      </c>
    </row>
    <row r="182" spans="1:15" x14ac:dyDescent="0.35">
      <c r="A182">
        <v>527</v>
      </c>
      <c r="C182" s="23" t="s">
        <v>194</v>
      </c>
      <c r="D182" s="86">
        <v>5060558503755</v>
      </c>
      <c r="E182" t="s">
        <v>243</v>
      </c>
      <c r="G182" t="s">
        <v>266</v>
      </c>
      <c r="H182" s="25" t="s">
        <v>219</v>
      </c>
      <c r="I182" t="s">
        <v>294</v>
      </c>
      <c r="L182" s="30">
        <f>IF(ISNA(INDEX('DO NOT OPEN'!D:D,MATCH(C182,'DO NOT OPEN'!A:A,0),0)),"No Stock",INDEX('DO NOT OPEN'!D:D,MATCH(C182,'DO NOT OPEN'!A:A,0),0))</f>
        <v>4</v>
      </c>
      <c r="M182" s="63" t="str">
        <f>HYPERLINK("http://www.sapphireav.com/Acoustically-Transparent-Sapphire-Fixed-Frame-Front-Projection-Screen-Viewing-Area-2037mm-x-1145mm-169-Format_p_571.html", "Click for Web Link")</f>
        <v>Click for Web Link</v>
      </c>
      <c r="N182" s="100">
        <v>11</v>
      </c>
      <c r="O182" s="69">
        <v>12</v>
      </c>
    </row>
    <row r="183" spans="1:15" x14ac:dyDescent="0.35">
      <c r="A183">
        <v>528</v>
      </c>
      <c r="C183" s="23" t="s">
        <v>182</v>
      </c>
      <c r="D183" s="86">
        <v>5060558503489</v>
      </c>
      <c r="E183" t="s">
        <v>243</v>
      </c>
      <c r="G183" t="s">
        <v>265</v>
      </c>
      <c r="H183" s="25" t="s">
        <v>219</v>
      </c>
      <c r="I183" t="s">
        <v>601</v>
      </c>
      <c r="L183" s="30">
        <f>IF(ISNA(INDEX('DO NOT OPEN'!D:D,MATCH(C183,'DO NOT OPEN'!A:A,0),0)),"No Stock",INDEX('DO NOT OPEN'!D:D,MATCH(C183,'DO NOT OPEN'!A:A,0),0))</f>
        <v>3</v>
      </c>
      <c r="M183" s="63" t="str">
        <f>HYPERLINK("http://www.sapphireav.com/Sapphire-Fixed-Frame-Front-Projection-2D-and-3D-2214mm-x-1245mm-169-Format_p_555.html", "Click for Web Link")</f>
        <v>Click for Web Link</v>
      </c>
      <c r="N183" s="100">
        <v>0</v>
      </c>
      <c r="O183" s="69">
        <v>12</v>
      </c>
    </row>
    <row r="184" spans="1:15" x14ac:dyDescent="0.35">
      <c r="A184">
        <v>529</v>
      </c>
      <c r="C184" s="23" t="s">
        <v>92</v>
      </c>
      <c r="D184" s="86">
        <v>5060558502949</v>
      </c>
      <c r="E184" t="s">
        <v>243</v>
      </c>
      <c r="G184" t="s">
        <v>264</v>
      </c>
      <c r="H184" s="25" t="s">
        <v>219</v>
      </c>
      <c r="I184" t="s">
        <v>601</v>
      </c>
      <c r="L184" s="30">
        <f>IF(ISNA(INDEX('DO NOT OPEN'!D:D,MATCH(C184,'DO NOT OPEN'!A:A,0),0)),"No Stock",INDEX('DO NOT OPEN'!D:D,MATCH(C184,'DO NOT OPEN'!A:A,0),0))</f>
        <v>88</v>
      </c>
      <c r="M184" s="63" t="str">
        <f>HYPERLINK("http://www.sapphireav.com/Sapphire-Fixed-Frame-Front-Projection-Screen-Viewing-Area-2340mm-x-1320mm-169-Format_p_237.html", "Click for Web Link")</f>
        <v>Click for Web Link</v>
      </c>
      <c r="N184" s="100">
        <v>12.5</v>
      </c>
      <c r="O184" s="69">
        <v>12</v>
      </c>
    </row>
    <row r="185" spans="1:15" x14ac:dyDescent="0.35">
      <c r="A185">
        <v>530</v>
      </c>
      <c r="C185" s="23" t="s">
        <v>114</v>
      </c>
      <c r="D185" s="86">
        <v>5060558501171</v>
      </c>
      <c r="E185" t="s">
        <v>243</v>
      </c>
      <c r="G185" t="s">
        <v>264</v>
      </c>
      <c r="H185" s="25" t="s">
        <v>220</v>
      </c>
      <c r="I185" t="s">
        <v>601</v>
      </c>
      <c r="L185" s="30">
        <f>IF(ISNA(INDEX('DO NOT OPEN'!D:D,MATCH(C185,'DO NOT OPEN'!A:A,0),0)),"No Stock",INDEX('DO NOT OPEN'!D:D,MATCH(C185,'DO NOT OPEN'!A:A,0),0))</f>
        <v>50</v>
      </c>
      <c r="M185" s="63" t="str">
        <f>HYPERLINK("http://www.sapphireav.com/Sapphire-Fixed-Frame-Front-Projection-Screen-Viewing-Area-2340mm-x-1462mm-1610-Format_p_336.html", "Click for Web Link")</f>
        <v>Click for Web Link</v>
      </c>
      <c r="N185" s="100">
        <v>12.5</v>
      </c>
      <c r="O185" s="69">
        <v>12</v>
      </c>
    </row>
    <row r="186" spans="1:15" x14ac:dyDescent="0.35">
      <c r="A186">
        <v>531</v>
      </c>
      <c r="C186" s="23" t="s">
        <v>211</v>
      </c>
      <c r="D186" s="86">
        <v>5060558501447</v>
      </c>
      <c r="E186" t="s">
        <v>243</v>
      </c>
      <c r="G186" t="s">
        <v>264</v>
      </c>
      <c r="H186" s="25" t="s">
        <v>220</v>
      </c>
      <c r="I186" t="s">
        <v>601</v>
      </c>
      <c r="L186" s="30">
        <f>IF(ISNA(INDEX('DO NOT OPEN'!D:D,MATCH(C186,'DO NOT OPEN'!A:A,0),0)),"No Stock",INDEX('DO NOT OPEN'!D:D,MATCH(C186,'DO NOT OPEN'!A:A,0),0))</f>
        <v>40</v>
      </c>
      <c r="M186" s="63" t="str">
        <f>HYPERLINK("http://www.sapphireav.com/Sapphire-Slim-Bezel-Fixed-Frame-Screen-Viewing-Area-2346-x-1466mm-1610-format_p_630.html", "Click for Web Link")</f>
        <v>Click for Web Link</v>
      </c>
      <c r="N186" s="100">
        <v>9.5</v>
      </c>
      <c r="O186" s="69">
        <v>12</v>
      </c>
    </row>
    <row r="187" spans="1:15" x14ac:dyDescent="0.35">
      <c r="A187">
        <v>532</v>
      </c>
      <c r="C187" s="23" t="s">
        <v>142</v>
      </c>
      <c r="D187" s="86">
        <v>5060558503762</v>
      </c>
      <c r="E187" t="s">
        <v>243</v>
      </c>
      <c r="G187" t="s">
        <v>264</v>
      </c>
      <c r="H187" s="25" t="s">
        <v>219</v>
      </c>
      <c r="I187" t="s">
        <v>294</v>
      </c>
      <c r="L187" s="30">
        <f>IF(ISNA(INDEX('DO NOT OPEN'!D:D,MATCH(C187,'DO NOT OPEN'!A:A,0),0)),"No Stock",INDEX('DO NOT OPEN'!D:D,MATCH(C187,'DO NOT OPEN'!A:A,0),0))</f>
        <v>17</v>
      </c>
      <c r="M187" s="63" t="str">
        <f>HYPERLINK("http://www.sapphireav.com/Acoustically-Transparent-Sapphire-Fixed-Frame-Front-Projection-Screen-Viewing-Area-2340mm-x-1320mm-169-Format_p_485.html", "Click for Web Link")</f>
        <v>Click for Web Link</v>
      </c>
      <c r="N187" s="100">
        <v>12.5</v>
      </c>
      <c r="O187" s="69">
        <v>12</v>
      </c>
    </row>
    <row r="188" spans="1:15" x14ac:dyDescent="0.35">
      <c r="A188">
        <v>533</v>
      </c>
      <c r="C188" s="23" t="s">
        <v>93</v>
      </c>
      <c r="D188" s="86">
        <v>5060558502956</v>
      </c>
      <c r="E188" t="s">
        <v>243</v>
      </c>
      <c r="G188" t="s">
        <v>263</v>
      </c>
      <c r="H188" s="25" t="s">
        <v>219</v>
      </c>
      <c r="I188" t="s">
        <v>601</v>
      </c>
      <c r="K188" t="s">
        <v>636</v>
      </c>
      <c r="L188" s="30">
        <f>IF(ISNA(INDEX('DO NOT OPEN'!D:D,MATCH(C188,'DO NOT OPEN'!A:A,0),0)),"No Stock",INDEX('DO NOT OPEN'!D:D,MATCH(C188,'DO NOT OPEN'!A:A,0),0))</f>
        <v>21</v>
      </c>
      <c r="M188" s="63" t="str">
        <f>HYPERLINK("http://www.sapphireav.com/Sapphire-Fixed-Frame-Front-Projection-Screen-Viewing-Area-2660mm-x-1500mm-169-Format_p_238.html", "Click for Web Link")</f>
        <v>Click for Web Link</v>
      </c>
      <c r="N188" s="100">
        <v>14.2</v>
      </c>
      <c r="O188" s="69">
        <v>15</v>
      </c>
    </row>
    <row r="189" spans="1:15" x14ac:dyDescent="0.35">
      <c r="A189">
        <v>534</v>
      </c>
      <c r="C189" s="23" t="s">
        <v>169</v>
      </c>
      <c r="D189" s="86">
        <v>5060558501171</v>
      </c>
      <c r="E189" t="s">
        <v>243</v>
      </c>
      <c r="G189" t="s">
        <v>263</v>
      </c>
      <c r="H189" s="25" t="s">
        <v>220</v>
      </c>
      <c r="I189" t="s">
        <v>601</v>
      </c>
      <c r="K189" t="s">
        <v>636</v>
      </c>
      <c r="L189" s="30">
        <f>IF(ISNA(INDEX('DO NOT OPEN'!D:D,MATCH(C189,'DO NOT OPEN'!A:A,0),0)),"No Stock",INDEX('DO NOT OPEN'!D:D,MATCH(C189,'DO NOT OPEN'!A:A,0),0))</f>
        <v>16</v>
      </c>
      <c r="M189" s="63" t="str">
        <f>HYPERLINK("http://www.sapphireav.com/Sapphire-Fixed-Frame-Front-Projection-Screen-Viewing-Area-2656mm-x-1660mm-1610-Format-_p_532.html", "Click for Web Link")</f>
        <v>Click for Web Link</v>
      </c>
      <c r="N189" s="100">
        <v>14.2</v>
      </c>
      <c r="O189" s="69">
        <v>15</v>
      </c>
    </row>
    <row r="190" spans="1:15" x14ac:dyDescent="0.35">
      <c r="A190">
        <v>538</v>
      </c>
      <c r="C190" s="23" t="s">
        <v>143</v>
      </c>
      <c r="D190" s="86">
        <v>5060558503786</v>
      </c>
      <c r="E190" t="s">
        <v>243</v>
      </c>
      <c r="G190" t="s">
        <v>263</v>
      </c>
      <c r="H190" s="25" t="s">
        <v>219</v>
      </c>
      <c r="I190" t="s">
        <v>294</v>
      </c>
      <c r="K190" t="s">
        <v>636</v>
      </c>
      <c r="L190" s="30">
        <f>IF(ISNA(INDEX('DO NOT OPEN'!D:D,MATCH(C190,'DO NOT OPEN'!A:A,0),0)),"No Stock",INDEX('DO NOT OPEN'!D:D,MATCH(C190,'DO NOT OPEN'!A:A,0),0))</f>
        <v>13</v>
      </c>
      <c r="M190" s="63" t="str">
        <f>HYPERLINK("http://www.sapphireav.com/Acoustically-Transparent-Sapphire-Fixed-Frame-Front-Projection-Screen-Viewing-Area-2656mm-x-1494mm-169-Format_p_644.html", "Click for Web Link")</f>
        <v>Click for Web Link</v>
      </c>
      <c r="N190" s="100">
        <v>14.2</v>
      </c>
      <c r="O190" s="69">
        <v>15</v>
      </c>
    </row>
    <row r="191" spans="1:15" x14ac:dyDescent="0.35">
      <c r="A191">
        <v>543</v>
      </c>
      <c r="C191" s="23" t="s">
        <v>157</v>
      </c>
      <c r="D191" s="86">
        <v>5060558503311</v>
      </c>
      <c r="E191" t="s">
        <v>243</v>
      </c>
      <c r="G191" t="s">
        <v>262</v>
      </c>
      <c r="H191" s="25" t="s">
        <v>219</v>
      </c>
      <c r="I191" t="s">
        <v>601</v>
      </c>
      <c r="K191" t="s">
        <v>636</v>
      </c>
      <c r="L191" s="30">
        <f>IF(ISNA(INDEX('DO NOT OPEN'!D:D,MATCH(C191,'DO NOT OPEN'!A:A,0),0)),"No Stock",INDEX('DO NOT OPEN'!D:D,MATCH(C191,'DO NOT OPEN'!A:A,0),0))</f>
        <v>20</v>
      </c>
      <c r="M191" s="63" t="str">
        <f>HYPERLINK("http://www.sapphireav.com/Sapphire-Fixed-Frame-Front-Projection-Screen-Viewing-Area-3011mm-x-1693mm-169-Format_p_512.html", "Click for Web Link")</f>
        <v>Click for Web Link</v>
      </c>
      <c r="N191" s="100">
        <v>17</v>
      </c>
      <c r="O191" s="69">
        <v>30</v>
      </c>
    </row>
    <row r="192" spans="1:15" x14ac:dyDescent="0.35">
      <c r="A192">
        <v>544</v>
      </c>
      <c r="C192" s="23" t="s">
        <v>170</v>
      </c>
      <c r="D192" s="86">
        <v>5060558503809</v>
      </c>
      <c r="E192" t="s">
        <v>243</v>
      </c>
      <c r="G192" t="s">
        <v>262</v>
      </c>
      <c r="H192" s="25" t="s">
        <v>220</v>
      </c>
      <c r="I192" t="s">
        <v>601</v>
      </c>
      <c r="K192" t="s">
        <v>636</v>
      </c>
      <c r="L192" s="30">
        <f>IF(ISNA(INDEX('DO NOT OPEN'!D:D,MATCH(C192,'DO NOT OPEN'!A:A,0),0)),"No Stock",INDEX('DO NOT OPEN'!D:D,MATCH(C192,'DO NOT OPEN'!A:A,0),0))</f>
        <v>30</v>
      </c>
      <c r="M192" s="63" t="str">
        <f>HYPERLINK("http://www.sapphireav.com/Sapphire-Fixed-Frame-Front-Projection-Screen-Viewing-Area-3011mm-x-1882mm-1610-Format_p_533.html", "Click for Web Link")</f>
        <v>Click for Web Link</v>
      </c>
      <c r="N192" s="100">
        <v>17</v>
      </c>
      <c r="O192" s="69">
        <v>30</v>
      </c>
    </row>
    <row r="193" spans="1:15" x14ac:dyDescent="0.35">
      <c r="A193">
        <v>545</v>
      </c>
      <c r="C193" s="23" t="s">
        <v>195</v>
      </c>
      <c r="D193" s="86">
        <v>5060558504165</v>
      </c>
      <c r="E193" t="s">
        <v>243</v>
      </c>
      <c r="G193" t="s">
        <v>262</v>
      </c>
      <c r="H193" s="25" t="s">
        <v>219</v>
      </c>
      <c r="I193" t="s">
        <v>294</v>
      </c>
      <c r="K193" t="s">
        <v>636</v>
      </c>
      <c r="L193" s="30">
        <f>IF(ISNA(INDEX('DO NOT OPEN'!D:D,MATCH(C193,'DO NOT OPEN'!A:A,0),0)),"No Stock",INDEX('DO NOT OPEN'!D:D,MATCH(C193,'DO NOT OPEN'!A:A,0),0))</f>
        <v>0</v>
      </c>
      <c r="M193" s="63" t="str">
        <f>HYPERLINK("http://www.sapphireav.com/Acoustically-Transparent-Sapphire-Fixed-Frame-Front-Projection-Screen-Viewing-Area-3011mm-x-1693mm-169-Format_p_572.html", "Click for Web Link")</f>
        <v>Click for Web Link</v>
      </c>
      <c r="N193" s="100">
        <v>17</v>
      </c>
      <c r="O193" s="69">
        <v>30</v>
      </c>
    </row>
    <row r="194" spans="1:15" x14ac:dyDescent="0.35">
      <c r="C194" t="s">
        <v>369</v>
      </c>
      <c r="D194" s="86">
        <v>5060558501478</v>
      </c>
      <c r="E194" t="s">
        <v>243</v>
      </c>
      <c r="G194" t="s">
        <v>261</v>
      </c>
      <c r="H194" s="25" t="s">
        <v>220</v>
      </c>
      <c r="I194" t="s">
        <v>601</v>
      </c>
      <c r="L194" s="30">
        <f>IF(ISNA(INDEX('DO NOT OPEN'!D:D,MATCH(C194,'DO NOT OPEN'!A:A,0),0)),"No Stock",INDEX('DO NOT OPEN'!D:D,MATCH(C194,'DO NOT OPEN'!A:A,0),0))</f>
        <v>9</v>
      </c>
      <c r="M194" s="63" t="str">
        <f>HYPERLINK("http://www.sapphireav.com/Sapphire-Fixed-Frame-Front-Projection-Screen-Viewing-Area-3498mm-x-2181mm-1610-Format_p_679.html", "Click for Web Link")</f>
        <v>Click for Web Link</v>
      </c>
      <c r="N194" s="100">
        <v>23</v>
      </c>
      <c r="O194" s="69">
        <v>30</v>
      </c>
    </row>
    <row r="195" spans="1:15" x14ac:dyDescent="0.35">
      <c r="A195">
        <v>546</v>
      </c>
      <c r="C195" s="23" t="s">
        <v>192</v>
      </c>
      <c r="D195" s="86">
        <v>5060558501225</v>
      </c>
      <c r="E195" t="s">
        <v>243</v>
      </c>
      <c r="G195" t="s">
        <v>261</v>
      </c>
      <c r="H195" s="25" t="s">
        <v>219</v>
      </c>
      <c r="I195" t="s">
        <v>601</v>
      </c>
      <c r="K195" t="s">
        <v>636</v>
      </c>
      <c r="L195" s="30">
        <f>IF(ISNA(INDEX('DO NOT OPEN'!D:D,MATCH(C195,'DO NOT OPEN'!A:A,0),0)),"No Stock",INDEX('DO NOT OPEN'!D:D,MATCH(C195,'DO NOT OPEN'!A:A,0),0))</f>
        <v>17</v>
      </c>
      <c r="M195" s="63" t="str">
        <f>HYPERLINK("http://www.sapphireav.com/Sapphire-Fixed-Frame-Front-Projection-Screen-3498mm-x-1968mm-169-Format_p_569.html", "Click for Web Link")</f>
        <v>Click for Web Link</v>
      </c>
      <c r="N195" s="100">
        <v>23</v>
      </c>
      <c r="O195" s="69">
        <v>30</v>
      </c>
    </row>
    <row r="196" spans="1:15" x14ac:dyDescent="0.35">
      <c r="A196">
        <v>547</v>
      </c>
      <c r="C196" s="23" t="s">
        <v>708</v>
      </c>
      <c r="D196" s="86">
        <v>5060558501461</v>
      </c>
      <c r="E196" t="s">
        <v>243</v>
      </c>
      <c r="G196" t="s">
        <v>261</v>
      </c>
      <c r="H196" s="25" t="s">
        <v>219</v>
      </c>
      <c r="I196" t="s">
        <v>294</v>
      </c>
      <c r="L196" s="30">
        <f>IF(ISNA(INDEX('DO NOT OPEN'!D:D,MATCH(C196,'DO NOT OPEN'!A:A,0),0)),"No Stock",INDEX('DO NOT OPEN'!D:D,MATCH(C196,'DO NOT OPEN'!A:A,0),0))</f>
        <v>0</v>
      </c>
      <c r="M196" s="63" t="str">
        <f>HYPERLINK("http://www.sapphireav.com/Acoustically-Transparent-Sapphire-Fixed-Frame-Front-Projection-Screen-Viewing-Area-3498mm-x-1968mm-169-Format_p_674.html","Click for Web Link")</f>
        <v>Click for Web Link</v>
      </c>
      <c r="N196" s="100">
        <v>23</v>
      </c>
      <c r="O196" s="69">
        <v>30</v>
      </c>
    </row>
    <row r="197" spans="1:15" x14ac:dyDescent="0.35">
      <c r="A197">
        <v>549</v>
      </c>
      <c r="C197" s="23" t="s">
        <v>186</v>
      </c>
      <c r="D197" s="86">
        <v>5060558503328</v>
      </c>
      <c r="E197" t="s">
        <v>243</v>
      </c>
      <c r="G197" t="s">
        <v>260</v>
      </c>
      <c r="H197" s="25" t="s">
        <v>219</v>
      </c>
      <c r="I197" t="s">
        <v>601</v>
      </c>
      <c r="L197" s="30">
        <f>IF(ISNA(INDEX('DO NOT OPEN'!D:D,MATCH(C197,'DO NOT OPEN'!A:A,0),0)),"No Stock",INDEX('DO NOT OPEN'!D:D,MATCH(C197,'DO NOT OPEN'!A:A,0),0))</f>
        <v>4</v>
      </c>
      <c r="M197" s="63" t="str">
        <f>HYPERLINK("http://www.sapphireav.com/Sapphire-Fixed-Frame-Front-Projection-Screen-3984mm-x-2240mm-169-Format_p_561.html","Click for Web Link")</f>
        <v>Click for Web Link</v>
      </c>
      <c r="N197" s="100">
        <v>33.4</v>
      </c>
      <c r="O197" s="69">
        <v>30</v>
      </c>
    </row>
    <row r="198" spans="1:15" x14ac:dyDescent="0.35">
      <c r="C198" t="s">
        <v>732</v>
      </c>
      <c r="D198" s="86">
        <v>5060558501331</v>
      </c>
      <c r="E198" t="s">
        <v>243</v>
      </c>
      <c r="G198" t="s">
        <v>260</v>
      </c>
      <c r="H198" s="25" t="s">
        <v>219</v>
      </c>
      <c r="I198" t="s">
        <v>294</v>
      </c>
      <c r="L198" s="30">
        <f>IF(ISNA(INDEX('DO NOT OPEN'!D:D,MATCH(C198,'DO NOT OPEN'!A:A,0),0)),"No Stock",INDEX('DO NOT OPEN'!D:D,MATCH(C198,'DO NOT OPEN'!A:A,0),0))</f>
        <v>0</v>
      </c>
      <c r="M198" s="63" t="str">
        <f>HYPERLINK("http://www.sapphireav.com/Acoustically-Transparent-Sapphire-Fixed-Frame-Front-Projection-Screen-Viewing-Area-3948mm-x-2240mm-169-Format_p_681.html", "Click for Web Link")</f>
        <v>Click for Web Link</v>
      </c>
      <c r="N198" s="100">
        <v>33.4</v>
      </c>
      <c r="O198" s="69">
        <v>30</v>
      </c>
    </row>
    <row r="199" spans="1:15" x14ac:dyDescent="0.35">
      <c r="A199">
        <v>550</v>
      </c>
      <c r="C199" s="23" t="s">
        <v>199</v>
      </c>
      <c r="D199" s="86">
        <v>5060558503816</v>
      </c>
      <c r="E199" t="s">
        <v>243</v>
      </c>
      <c r="G199" t="s">
        <v>260</v>
      </c>
      <c r="H199" s="25" t="s">
        <v>220</v>
      </c>
      <c r="I199" t="s">
        <v>601</v>
      </c>
      <c r="K199" t="s">
        <v>636</v>
      </c>
      <c r="L199" s="30">
        <f>IF(ISNA(INDEX('DO NOT OPEN'!D:D,MATCH(C199,'DO NOT OPEN'!A:A,0),0)),"No Stock",INDEX('DO NOT OPEN'!D:D,MATCH(C199,'DO NOT OPEN'!A:A,0),0))</f>
        <v>2</v>
      </c>
      <c r="M199" s="63" t="str">
        <f>HYPERLINK("http://www.sapphireav.com/Sapphire-Fixed-Frame-Front-Projection-Screen-3984mm-x-2240mm-169-Format_p_561.html", "Click for Web Link")</f>
        <v>Click for Web Link</v>
      </c>
      <c r="N199" s="100">
        <v>33.4</v>
      </c>
      <c r="O199" s="69">
        <v>30</v>
      </c>
    </row>
    <row r="200" spans="1:15" x14ac:dyDescent="0.35">
      <c r="A200">
        <v>551</v>
      </c>
      <c r="C200" s="23" t="s">
        <v>710</v>
      </c>
      <c r="D200" s="86">
        <v>5060558501744</v>
      </c>
      <c r="E200" t="s">
        <v>243</v>
      </c>
      <c r="G200" t="s">
        <v>261</v>
      </c>
      <c r="H200" s="25" t="s">
        <v>219</v>
      </c>
      <c r="I200" t="s">
        <v>601</v>
      </c>
      <c r="L200" s="30">
        <f>IF(ISNA(INDEX('DO NOT OPEN'!D:D,MATCH(C200,'DO NOT OPEN'!A:A,0),0)),"No Stock",INDEX('DO NOT OPEN'!D:D,MATCH(C200,'DO NOT OPEN'!A:A,0),0))</f>
        <v>0</v>
      </c>
      <c r="M200" s="63" t="str">
        <f>HYPERLINK("http://www.sapphireav.com/Sapphire-Fixed-Frame-Front-Projection-Screen-Viewing-Area-4500mm-x-2531mm-169-Format_p_684.html","Click for Web Link")</f>
        <v>Click for Web Link</v>
      </c>
      <c r="N200" s="100">
        <v>38</v>
      </c>
      <c r="O200" s="69">
        <v>30</v>
      </c>
    </row>
    <row r="201" spans="1:15" x14ac:dyDescent="0.35">
      <c r="A201">
        <v>552</v>
      </c>
      <c r="C201" s="23" t="s">
        <v>94</v>
      </c>
      <c r="D201" s="86">
        <v>5060558502918</v>
      </c>
      <c r="E201" t="s">
        <v>243</v>
      </c>
      <c r="G201" t="s">
        <v>262</v>
      </c>
      <c r="H201" s="25" t="s">
        <v>218</v>
      </c>
      <c r="I201" t="s">
        <v>293</v>
      </c>
      <c r="K201" t="s">
        <v>636</v>
      </c>
      <c r="L201" s="30" t="str">
        <f>IF(ISNA(INDEX('DO NOT OPEN'!D:D,MATCH(C201,'DO NOT OPEN'!A:A,0),0)),"No Stock",INDEX('DO NOT OPEN'!D:D,MATCH(C201,'DO NOT OPEN'!A:A,0),0))</f>
        <v>No Stock</v>
      </c>
      <c r="M201" s="63" t="str">
        <f>HYPERLINK("http://www.sapphireav.com/Sapphire-Fixed-Frame-Front-Projection-Screen-Viewing-Area-3048mm-x-2286mm-43-Format_p_240.html", "Click for Web Link")</f>
        <v>Click for Web Link</v>
      </c>
      <c r="N201" s="100">
        <v>18.5</v>
      </c>
      <c r="O201" s="69">
        <v>30</v>
      </c>
    </row>
    <row r="202" spans="1:15" x14ac:dyDescent="0.35">
      <c r="A202">
        <v>553</v>
      </c>
      <c r="C202" s="23" t="s">
        <v>131</v>
      </c>
      <c r="D202" s="86">
        <v>5060558503212</v>
      </c>
      <c r="E202" t="s">
        <v>244</v>
      </c>
      <c r="G202" t="s">
        <v>257</v>
      </c>
      <c r="I202" t="s">
        <v>601</v>
      </c>
      <c r="L202" s="30">
        <f>IF(ISNA(INDEX('DO NOT OPEN'!D:D,MATCH(C202,'DO NOT OPEN'!A:A,0),0)),"No Stock",INDEX('DO NOT OPEN'!D:D,MATCH(C202,'DO NOT OPEN'!A:A,0),0))</f>
        <v>0</v>
      </c>
      <c r="M202" s="63" t="str">
        <f>HYPERLINK("http://www.sapphireav.com/Sapphire-Harmony-18-metre-Projection-Whiteboard_p_456.html", "Click for Web Link")</f>
        <v>Click for Web Link</v>
      </c>
      <c r="N202" s="100">
        <v>16</v>
      </c>
      <c r="O202" s="69">
        <v>12</v>
      </c>
    </row>
    <row r="203" spans="1:15" x14ac:dyDescent="0.35">
      <c r="A203">
        <v>555</v>
      </c>
      <c r="C203" s="23" t="s">
        <v>216</v>
      </c>
      <c r="D203" s="86">
        <v>5060558501546</v>
      </c>
      <c r="E203" t="s">
        <v>244</v>
      </c>
      <c r="G203" t="s">
        <v>256</v>
      </c>
      <c r="H203" s="52" t="s">
        <v>634</v>
      </c>
      <c r="I203" t="s">
        <v>601</v>
      </c>
      <c r="L203" s="30">
        <f>IF(ISNA(INDEX('DO NOT OPEN'!D:D,MATCH(C203,'DO NOT OPEN'!A:A,0),0)),"No Stock",INDEX('DO NOT OPEN'!D:D,MATCH(C203,'DO NOT OPEN'!A:A,0),0))</f>
        <v>0</v>
      </c>
      <c r="M203" s="63" t="str">
        <f>HYPERLINK("http://www.sapphireav.com/Sapphire-Harmony-2m-Projection-Whiteboard_p_655.html", "Click for Web Link")</f>
        <v>Click for Web Link</v>
      </c>
      <c r="N203" s="100">
        <v>19</v>
      </c>
      <c r="O203" s="69">
        <v>12</v>
      </c>
    </row>
    <row r="204" spans="1:15" x14ac:dyDescent="0.35">
      <c r="A204">
        <v>556</v>
      </c>
      <c r="C204" s="23" t="s">
        <v>150</v>
      </c>
      <c r="D204" s="86">
        <v>5060558502307</v>
      </c>
      <c r="E204" t="s">
        <v>241</v>
      </c>
      <c r="F204" t="s">
        <v>246</v>
      </c>
      <c r="G204" s="11" t="s">
        <v>288</v>
      </c>
      <c r="H204" s="25" t="s">
        <v>218</v>
      </c>
      <c r="I204" t="s">
        <v>601</v>
      </c>
      <c r="J204" t="s">
        <v>279</v>
      </c>
      <c r="K204" t="s">
        <v>636</v>
      </c>
      <c r="L204" s="30">
        <f>IF(ISNA(INDEX('DO NOT OPEN'!D:D,MATCH(C204,'DO NOT OPEN'!A:A,0),0)),"No Stock",INDEX('DO NOT OPEN'!D:D,MATCH(C204,'DO NOT OPEN'!A:A,0),0))</f>
        <v>8</v>
      </c>
      <c r="M204" s="63" t="str">
        <f>HYPERLINK("http://www.sapphireav.com/Sapphire-50-Diagonal-Table-Top-Screen-Approx-Case-Dimension-L-1124mm-x-H-59mm-x-D-84mm_p_503.html", "Click for Web Link")</f>
        <v>Click for Web Link</v>
      </c>
      <c r="N204" s="100">
        <v>2.8</v>
      </c>
      <c r="O204" s="69">
        <v>7.5</v>
      </c>
    </row>
    <row r="205" spans="1:15" x14ac:dyDescent="0.35">
      <c r="A205">
        <v>558</v>
      </c>
      <c r="C205" s="23" t="s">
        <v>140</v>
      </c>
      <c r="D205" s="86">
        <v>5060558503113</v>
      </c>
      <c r="E205" t="s">
        <v>241</v>
      </c>
      <c r="F205" t="s">
        <v>246</v>
      </c>
      <c r="G205" s="11" t="s">
        <v>287</v>
      </c>
      <c r="H205" s="25" t="s">
        <v>218</v>
      </c>
      <c r="I205" t="s">
        <v>601</v>
      </c>
      <c r="J205" t="s">
        <v>279</v>
      </c>
      <c r="K205" t="s">
        <v>636</v>
      </c>
      <c r="L205" s="30">
        <f>IF(ISNA(INDEX('DO NOT OPEN'!D:D,MATCH(C205,'DO NOT OPEN'!A:A,0),0)),"No Stock",INDEX('DO NOT OPEN'!D:D,MATCH(C205,'DO NOT OPEN'!A:A,0),0))</f>
        <v>0</v>
      </c>
      <c r="M205" s="63" t="str">
        <f>HYPERLINK("http://www.sapphireav.com/Sapphire-40-Diagonal-Table-Top-Screen-Approx-Case-Dimension-L-905mm-x-H-63mm-x-D-43mm_p_478.html", "Click for Web Link")</f>
        <v>Click for Web Link</v>
      </c>
      <c r="N205" s="100">
        <v>1.3</v>
      </c>
      <c r="O205" s="69">
        <v>7.5</v>
      </c>
    </row>
    <row r="206" spans="1:15" x14ac:dyDescent="0.35">
      <c r="A206">
        <v>559</v>
      </c>
      <c r="C206" s="23" t="s">
        <v>14</v>
      </c>
      <c r="D206" s="86">
        <v>5060558502642</v>
      </c>
      <c r="E206" t="s">
        <v>242</v>
      </c>
      <c r="F206" t="s">
        <v>251</v>
      </c>
      <c r="G206" t="s">
        <v>256</v>
      </c>
      <c r="H206" s="25" t="s">
        <v>218</v>
      </c>
      <c r="I206" t="s">
        <v>601</v>
      </c>
      <c r="J206" t="s">
        <v>281</v>
      </c>
      <c r="K206" t="s">
        <v>283</v>
      </c>
      <c r="L206" s="30">
        <f>IF(ISNA(INDEX('DO NOT OPEN'!D:D,MATCH(C206,'DO NOT OPEN'!A:A,0),0)),"No Stock",INDEX('DO NOT OPEN'!D:D,MATCH(C206,'DO NOT OPEN'!A:A,0),0))</f>
        <v>2</v>
      </c>
      <c r="M206" s="63" t="str">
        <f>HYPERLINK("http://www.sapphireav.com/Sapphire-Smart-Move-2m-43-Viewing-Area-2327mm-x-1520mm-Two-Motor-Electric-Projection-Screen-Approx-Case-Dimensions-L-2327mm-x-H-173mm-x-D-133mm_p_64.html", "Click for Web Link")</f>
        <v>Click for Web Link</v>
      </c>
      <c r="N206" s="100">
        <v>33.4</v>
      </c>
      <c r="O206" s="69">
        <v>15</v>
      </c>
    </row>
    <row r="207" spans="1:15" x14ac:dyDescent="0.35">
      <c r="A207">
        <v>560</v>
      </c>
      <c r="C207" s="23" t="s">
        <v>9</v>
      </c>
      <c r="D207" s="86">
        <v>5060558502659</v>
      </c>
      <c r="E207" t="s">
        <v>242</v>
      </c>
      <c r="F207" t="s">
        <v>251</v>
      </c>
      <c r="G207" t="s">
        <v>256</v>
      </c>
      <c r="H207" s="25" t="s">
        <v>219</v>
      </c>
      <c r="I207" t="s">
        <v>601</v>
      </c>
      <c r="J207" t="s">
        <v>281</v>
      </c>
      <c r="K207" t="s">
        <v>283</v>
      </c>
      <c r="L207" s="30">
        <f>IF(ISNA(INDEX('DO NOT OPEN'!D:D,MATCH(C207,'DO NOT OPEN'!A:A,0),0)),"No Stock",INDEX('DO NOT OPEN'!D:D,MATCH(C207,'DO NOT OPEN'!A:A,0),0))</f>
        <v>3</v>
      </c>
      <c r="M207" s="63" t="str">
        <f>HYPERLINK("http://www.sapphireav.com/Sapphire-Smart-Move-2m-1610-Viewing-Area-2327mm-x-1268mm-Two-Motor-Electric-Projection-Screen-Approx-Case-Dimensions-L-2327mm-x-H-173mm-x-D-133mm_p_576.html", "Click for Web Link")</f>
        <v>Click for Web Link</v>
      </c>
      <c r="N207" s="100">
        <v>33.4</v>
      </c>
      <c r="O207" s="69">
        <v>15</v>
      </c>
    </row>
    <row r="208" spans="1:15" x14ac:dyDescent="0.35">
      <c r="A208">
        <v>561</v>
      </c>
      <c r="C208" s="23" t="s">
        <v>198</v>
      </c>
      <c r="D208" s="86">
        <v>5060558503700</v>
      </c>
      <c r="E208" t="s">
        <v>242</v>
      </c>
      <c r="F208" t="s">
        <v>251</v>
      </c>
      <c r="G208" t="s">
        <v>256</v>
      </c>
      <c r="H208" s="25" t="s">
        <v>220</v>
      </c>
      <c r="I208" t="s">
        <v>601</v>
      </c>
      <c r="J208" t="s">
        <v>281</v>
      </c>
      <c r="K208" t="s">
        <v>283</v>
      </c>
      <c r="L208" s="30">
        <f>IF(ISNA(INDEX('DO NOT OPEN'!D:D,MATCH(C208,'DO NOT OPEN'!A:A,0),0)),"No Stock",INDEX('DO NOT OPEN'!D:D,MATCH(C208,'DO NOT OPEN'!A:A,0),0))</f>
        <v>3</v>
      </c>
      <c r="M208" s="63" t="str">
        <f>HYPERLINK("http://www.sapphireav.com/Sapphire-Smart-Move-2m-1610-Viewing-Area-2327mm-x-1268mm-Two-Motor-Electric-Projection-Screen-Approx-Case-Dimensions-L-2327mm-x-H-173mm-x-D-133mm_p_576.html", "Click for Web Link")</f>
        <v>Click for Web Link</v>
      </c>
      <c r="N208" s="100">
        <v>33.4</v>
      </c>
      <c r="O208" s="69">
        <v>15</v>
      </c>
    </row>
    <row r="209" spans="1:15" x14ac:dyDescent="0.35">
      <c r="A209">
        <v>566</v>
      </c>
      <c r="C209" s="23" t="s">
        <v>10</v>
      </c>
      <c r="D209" s="86">
        <v>5060558502666</v>
      </c>
      <c r="E209" t="s">
        <v>242</v>
      </c>
      <c r="F209" t="s">
        <v>251</v>
      </c>
      <c r="G209" t="s">
        <v>255</v>
      </c>
      <c r="H209" s="25" t="s">
        <v>218</v>
      </c>
      <c r="I209" t="s">
        <v>601</v>
      </c>
      <c r="J209" t="s">
        <v>281</v>
      </c>
      <c r="K209" t="s">
        <v>283</v>
      </c>
      <c r="L209" s="30">
        <f>IF(ISNA(INDEX('DO NOT OPEN'!D:D,MATCH(C209,'DO NOT OPEN'!A:A,0),0)),"No Stock",INDEX('DO NOT OPEN'!D:D,MATCH(C209,'DO NOT OPEN'!A:A,0),0))</f>
        <v>4</v>
      </c>
      <c r="M209" s="63" t="str">
        <f>HYPERLINK("http://www.sapphireav.com/Sapphire-Smart-Move-24m-43-Viewing-Area-2338mm-x-1755mm-Two-Motor-Electric-Projection-Screen-Approx-Case-Dimensions-L-2635mm-x-H-173mm-x-D-133mm_p_30.html", "Click for Web Link")</f>
        <v>Click for Web Link</v>
      </c>
      <c r="N209" s="100">
        <v>38.299999999999997</v>
      </c>
      <c r="O209" s="69">
        <v>15</v>
      </c>
    </row>
    <row r="210" spans="1:15" x14ac:dyDescent="0.35">
      <c r="A210">
        <v>567</v>
      </c>
      <c r="C210" s="23" t="s">
        <v>11</v>
      </c>
      <c r="D210" s="86">
        <v>5060558502673</v>
      </c>
      <c r="E210" t="s">
        <v>242</v>
      </c>
      <c r="F210" t="s">
        <v>251</v>
      </c>
      <c r="G210" t="s">
        <v>255</v>
      </c>
      <c r="H210" s="25" t="s">
        <v>219</v>
      </c>
      <c r="I210" t="s">
        <v>601</v>
      </c>
      <c r="J210" t="s">
        <v>281</v>
      </c>
      <c r="K210" t="s">
        <v>283</v>
      </c>
      <c r="L210" s="30">
        <f>IF(ISNA(INDEX('DO NOT OPEN'!D:D,MATCH(C210,'DO NOT OPEN'!A:A,0),0)),"No Stock",INDEX('DO NOT OPEN'!D:D,MATCH(C210,'DO NOT OPEN'!A:A,0),0))</f>
        <v>4</v>
      </c>
      <c r="M210" s="63" t="str">
        <f>HYPERLINK("http://www.sapphireav.com/Sapphire-Smart-Move-24m-169-Viewing-Area-2338mm-x-1320mm-Two-Motor-Electric-Projection-Screen-Approx-Case-Dimensions-L-2635mm-x-H-173mm-x-D-133mm_p_31.html", "Click for Web Link")</f>
        <v>Click for Web Link</v>
      </c>
      <c r="N210" s="100">
        <v>38.299999999999997</v>
      </c>
      <c r="O210" s="69">
        <v>15</v>
      </c>
    </row>
    <row r="211" spans="1:15" x14ac:dyDescent="0.35">
      <c r="A211">
        <v>568</v>
      </c>
      <c r="C211" s="23" t="s">
        <v>189</v>
      </c>
      <c r="D211" s="86">
        <v>5060558503717</v>
      </c>
      <c r="E211" t="s">
        <v>242</v>
      </c>
      <c r="F211" t="s">
        <v>251</v>
      </c>
      <c r="G211" t="s">
        <v>255</v>
      </c>
      <c r="H211" s="25" t="s">
        <v>220</v>
      </c>
      <c r="I211" t="s">
        <v>601</v>
      </c>
      <c r="J211" t="s">
        <v>281</v>
      </c>
      <c r="K211" t="s">
        <v>283</v>
      </c>
      <c r="L211" s="30">
        <f>IF(ISNA(INDEX('DO NOT OPEN'!D:D,MATCH(C211,'DO NOT OPEN'!A:A,0),0)),"No Stock",INDEX('DO NOT OPEN'!D:D,MATCH(C211,'DO NOT OPEN'!A:A,0),0))</f>
        <v>13</v>
      </c>
      <c r="M211" s="63" t="str">
        <f>HYPERLINK("http://www.sapphireav.com/Sapphire-Smart-Move-24m-1610-Viewing-Area-2338mm-x-1461mm-Two-Motor-Electric-Projection-Screen-Approx-Case-Dimensions-L-2635mm-x-H-173mm-x-D-133mm_p_565.html", "Click for Web Link")</f>
        <v>Click for Web Link</v>
      </c>
      <c r="N211" s="100">
        <v>38.299999999999997</v>
      </c>
      <c r="O211" s="69">
        <v>15</v>
      </c>
    </row>
    <row r="212" spans="1:15" x14ac:dyDescent="0.35">
      <c r="A212">
        <v>569</v>
      </c>
      <c r="C212" s="23" t="s">
        <v>12</v>
      </c>
      <c r="D212" s="86">
        <v>5060558502680</v>
      </c>
      <c r="E212" t="s">
        <v>242</v>
      </c>
      <c r="F212" t="s">
        <v>251</v>
      </c>
      <c r="G212" t="s">
        <v>262</v>
      </c>
      <c r="H212" s="25" t="s">
        <v>218</v>
      </c>
      <c r="I212" t="s">
        <v>601</v>
      </c>
      <c r="J212" t="s">
        <v>281</v>
      </c>
      <c r="K212" t="s">
        <v>283</v>
      </c>
      <c r="L212" s="30">
        <f>IF(ISNA(INDEX('DO NOT OPEN'!D:D,MATCH(C212,'DO NOT OPEN'!A:A,0),0)),"No Stock",INDEX('DO NOT OPEN'!D:D,MATCH(C212,'DO NOT OPEN'!A:A,0),0))</f>
        <v>6</v>
      </c>
      <c r="M212" s="63" t="str">
        <f>HYPERLINK("http://www.sapphireav.com/Sapphire-Smart-Move-3m-43-Two-Motor-Electric-Projection-Screen-Approx-Case-Dimensions-L-3345mm-x-H-173mm-x-D-133mm_p_32.html", "Click for Web Link")</f>
        <v>Click for Web Link</v>
      </c>
      <c r="N212" s="100">
        <v>50.1</v>
      </c>
      <c r="O212" s="69">
        <v>30</v>
      </c>
    </row>
    <row r="213" spans="1:15" x14ac:dyDescent="0.35">
      <c r="A213">
        <v>570</v>
      </c>
      <c r="C213" s="23" t="s">
        <v>13</v>
      </c>
      <c r="D213" s="86">
        <v>5060558502697</v>
      </c>
      <c r="E213" t="s">
        <v>242</v>
      </c>
      <c r="F213" t="s">
        <v>251</v>
      </c>
      <c r="G213" t="s">
        <v>262</v>
      </c>
      <c r="H213" s="25" t="s">
        <v>219</v>
      </c>
      <c r="I213" t="s">
        <v>601</v>
      </c>
      <c r="J213" t="s">
        <v>281</v>
      </c>
      <c r="K213" t="s">
        <v>283</v>
      </c>
      <c r="L213" s="30">
        <f>IF(ISNA(INDEX('DO NOT OPEN'!D:D,MATCH(C213,'DO NOT OPEN'!A:A,0),0)),"No Stock",INDEX('DO NOT OPEN'!D:D,MATCH(C213,'DO NOT OPEN'!A:A,0),0))</f>
        <v>9</v>
      </c>
      <c r="M213" s="63" t="str">
        <f>HYPERLINK("http://www.sapphireav.com/Sapphire-Smart-Move-3m-169-Two-Motor-Electric-Projection-Screen-Approx-Case-Dimensions-L-3345mm-x-H-173mm-x-D-133mm_p_33.html", "Click for Web Link")</f>
        <v>Click for Web Link</v>
      </c>
      <c r="N213" s="100">
        <v>50.1</v>
      </c>
      <c r="O213" s="69">
        <v>30</v>
      </c>
    </row>
    <row r="214" spans="1:15" x14ac:dyDescent="0.35">
      <c r="A214">
        <v>571</v>
      </c>
      <c r="C214" s="23" t="s">
        <v>190</v>
      </c>
      <c r="D214" s="86">
        <v>5060558503724</v>
      </c>
      <c r="E214" t="s">
        <v>242</v>
      </c>
      <c r="F214" t="s">
        <v>251</v>
      </c>
      <c r="G214" t="s">
        <v>262</v>
      </c>
      <c r="H214" s="25" t="s">
        <v>220</v>
      </c>
      <c r="I214" t="s">
        <v>601</v>
      </c>
      <c r="J214" t="s">
        <v>281</v>
      </c>
      <c r="K214" t="s">
        <v>283</v>
      </c>
      <c r="L214" s="30">
        <f>IF(ISNA(INDEX('DO NOT OPEN'!D:D,MATCH(C214,'DO NOT OPEN'!A:A,0),0)),"No Stock",INDEX('DO NOT OPEN'!D:D,MATCH(C214,'DO NOT OPEN'!A:A,0),0))</f>
        <v>14</v>
      </c>
      <c r="M214" s="63" t="str">
        <f>HYPERLINK("http://www.sapphireav.com/Sapphire-Smart-Move-3m-1610-Two-Motor-Electric-Projection-Screen-Approx-Case-Dimensions-L-3345mm-x-H-173mm-x-D-133mm_p_566.html", "Click for Web Link")</f>
        <v>Click for Web Link</v>
      </c>
      <c r="N214" s="100">
        <v>50.1</v>
      </c>
      <c r="O214" s="69">
        <v>30</v>
      </c>
    </row>
    <row r="215" spans="1:15" x14ac:dyDescent="0.35">
      <c r="A215">
        <v>572</v>
      </c>
      <c r="C215" s="23" t="s">
        <v>476</v>
      </c>
      <c r="D215" s="92">
        <v>5060558501430</v>
      </c>
      <c r="E215" t="s">
        <v>242</v>
      </c>
      <c r="F215" t="s">
        <v>251</v>
      </c>
      <c r="G215" t="s">
        <v>261</v>
      </c>
      <c r="H215" s="25" t="s">
        <v>220</v>
      </c>
      <c r="I215" t="s">
        <v>601</v>
      </c>
      <c r="J215" t="s">
        <v>281</v>
      </c>
      <c r="K215" t="s">
        <v>283</v>
      </c>
      <c r="L215" s="30">
        <f>IF(ISNA(INDEX('DO NOT OPEN'!D:D,MATCH(C215,'DO NOT OPEN'!A:A,0),0)),"No Stock",INDEX('DO NOT OPEN'!D:D,MATCH(C215,'DO NOT OPEN'!A:A,0),0))</f>
        <v>3</v>
      </c>
      <c r="M215" s="63" t="str">
        <f>HYPERLINK("http://www.sapphireav.com/Sapphire-Smart-Move-35m-1610-Two-Motor-Electric-Projection-Screen-Approx-Case-Dimensions-L-3994-x-H-254-x-D-168cm_p_651.html", "Click for Web Link")</f>
        <v>Click for Web Link</v>
      </c>
      <c r="N215" s="100">
        <v>76</v>
      </c>
      <c r="O215" s="69">
        <v>90</v>
      </c>
    </row>
    <row r="216" spans="1:15" x14ac:dyDescent="0.35">
      <c r="A216">
        <v>573</v>
      </c>
      <c r="C216" s="23" t="s">
        <v>203</v>
      </c>
      <c r="D216" s="86">
        <v>5060558503731</v>
      </c>
      <c r="E216" t="s">
        <v>242</v>
      </c>
      <c r="F216" t="s">
        <v>251</v>
      </c>
      <c r="G216" t="s">
        <v>261</v>
      </c>
      <c r="H216" s="25" t="s">
        <v>218</v>
      </c>
      <c r="I216" t="s">
        <v>601</v>
      </c>
      <c r="J216" t="s">
        <v>281</v>
      </c>
      <c r="K216" t="s">
        <v>283</v>
      </c>
      <c r="L216" s="30">
        <f>IF(ISNA(INDEX('DO NOT OPEN'!D:D,MATCH(C216,'DO NOT OPEN'!A:A,0),0)),"No Stock",INDEX('DO NOT OPEN'!D:D,MATCH(C216,'DO NOT OPEN'!A:A,0),0))</f>
        <v>0</v>
      </c>
      <c r="M216" s="63" t="str">
        <f>HYPERLINK("http://www.sapphireav.com/Sapphire-Smart-Move-35m-43-Two-Motor-Electric-Projection-Screen-Approx-Case-Dimensions-L-3994mm-x-H-254mm-x-D-168mm_p_581.html", "Click for Web Link")</f>
        <v>Click for Web Link</v>
      </c>
      <c r="N216" s="100">
        <v>76</v>
      </c>
      <c r="O216" s="69">
        <v>90</v>
      </c>
    </row>
    <row r="217" spans="1:15" x14ac:dyDescent="0.35">
      <c r="A217">
        <v>574</v>
      </c>
      <c r="C217" s="23" t="s">
        <v>202</v>
      </c>
      <c r="D217" s="86">
        <v>5060558503748</v>
      </c>
      <c r="E217" t="s">
        <v>242</v>
      </c>
      <c r="F217" t="s">
        <v>251</v>
      </c>
      <c r="G217" t="s">
        <v>261</v>
      </c>
      <c r="H217" s="25" t="s">
        <v>219</v>
      </c>
      <c r="I217" t="s">
        <v>601</v>
      </c>
      <c r="J217" t="s">
        <v>281</v>
      </c>
      <c r="K217" t="s">
        <v>283</v>
      </c>
      <c r="L217" s="30">
        <f>IF(ISNA(INDEX('DO NOT OPEN'!D:D,MATCH(C217,'DO NOT OPEN'!A:A,0),0)),"No Stock",INDEX('DO NOT OPEN'!D:D,MATCH(C217,'DO NOT OPEN'!A:A,0),0))</f>
        <v>1</v>
      </c>
      <c r="M217" s="63" t="str">
        <f>HYPERLINK("http://www.sapphireav.com/Sapphire-Smart-Move-35m-169-Two-Motor-Electric-Projection-Screen-Approx-Case-Dimensions-L-3994mm-x-H-254mm-x-D-168mm_p_580.html", "Click for Web Link")</f>
        <v>Click for Web Link</v>
      </c>
      <c r="N217" s="100">
        <v>76</v>
      </c>
      <c r="O217" s="69">
        <v>90</v>
      </c>
    </row>
    <row r="218" spans="1:15" x14ac:dyDescent="0.35">
      <c r="A218">
        <v>576</v>
      </c>
      <c r="C218" s="23" t="s">
        <v>187</v>
      </c>
      <c r="D218" s="86">
        <v>5060558503694</v>
      </c>
      <c r="E218" t="s">
        <v>242</v>
      </c>
      <c r="F218" t="s">
        <v>251</v>
      </c>
      <c r="G218" t="s">
        <v>260</v>
      </c>
      <c r="H218" s="25" t="s">
        <v>219</v>
      </c>
      <c r="I218" t="s">
        <v>601</v>
      </c>
      <c r="J218" t="s">
        <v>281</v>
      </c>
      <c r="K218" t="s">
        <v>283</v>
      </c>
      <c r="L218" s="30">
        <f>IF(ISNA(INDEX('DO NOT OPEN'!D:D,MATCH(C218,'DO NOT OPEN'!A:A,0),0)),"No Stock",INDEX('DO NOT OPEN'!D:D,MATCH(C218,'DO NOT OPEN'!A:A,0),0))</f>
        <v>5</v>
      </c>
      <c r="M218" s="63" t="str">
        <f>HYPERLINK("http://www.sapphireav.com/Sapphire-Smart-Move-4m-169-Two-Motor-Electric-Projection-Screen-Approx-Case-Dimensions-L-4317mm-x-H-250mm-x-D-170mm_p_562.html", "Click for Web Link")</f>
        <v>Click for Web Link</v>
      </c>
      <c r="N218" s="100">
        <v>99.5</v>
      </c>
      <c r="O218" s="69">
        <v>90</v>
      </c>
    </row>
    <row r="219" spans="1:15" x14ac:dyDescent="0.35">
      <c r="A219">
        <v>577</v>
      </c>
      <c r="C219" s="23" t="s">
        <v>191</v>
      </c>
      <c r="D219" s="86">
        <v>5060558503670</v>
      </c>
      <c r="E219" t="s">
        <v>242</v>
      </c>
      <c r="F219" t="s">
        <v>251</v>
      </c>
      <c r="G219" t="s">
        <v>260</v>
      </c>
      <c r="H219" s="25" t="s">
        <v>220</v>
      </c>
      <c r="I219" t="s">
        <v>601</v>
      </c>
      <c r="J219" t="s">
        <v>281</v>
      </c>
      <c r="K219" t="s">
        <v>283</v>
      </c>
      <c r="L219" s="30">
        <f>IF(ISNA(INDEX('DO NOT OPEN'!D:D,MATCH(C219,'DO NOT OPEN'!A:A,0),0)),"No Stock",INDEX('DO NOT OPEN'!D:D,MATCH(C219,'DO NOT OPEN'!A:A,0),0))</f>
        <v>4</v>
      </c>
      <c r="M219" s="63" t="str">
        <f>HYPERLINK("http://www.sapphireav.com/Sapphire-Smart-Move-4m-1610-Two-Motor-Electric-Projection-Screen-Approx-Case-Dimensions-L-4317mm-x-H-250mm-x-D-170mm_p_567.html", "Click for Web Link")</f>
        <v>Click for Web Link</v>
      </c>
      <c r="N219" s="100">
        <v>99.5</v>
      </c>
      <c r="O219" s="69">
        <v>90</v>
      </c>
    </row>
    <row r="220" spans="1:15" x14ac:dyDescent="0.35">
      <c r="A220">
        <v>578</v>
      </c>
      <c r="C220" s="23" t="s">
        <v>162</v>
      </c>
      <c r="D220" s="86">
        <v>5060558503502</v>
      </c>
      <c r="E220" t="s">
        <v>242</v>
      </c>
      <c r="F220" t="s">
        <v>251</v>
      </c>
      <c r="G220" t="s">
        <v>260</v>
      </c>
      <c r="H220" s="25" t="s">
        <v>218</v>
      </c>
      <c r="I220" t="s">
        <v>601</v>
      </c>
      <c r="J220" t="s">
        <v>281</v>
      </c>
      <c r="K220" t="s">
        <v>283</v>
      </c>
      <c r="L220" s="30">
        <f>IF(ISNA(INDEX('DO NOT OPEN'!D:D,MATCH(C220,'DO NOT OPEN'!A:A,0),0)),"No Stock",INDEX('DO NOT OPEN'!D:D,MATCH(C220,'DO NOT OPEN'!A:A,0),0))</f>
        <v>1</v>
      </c>
      <c r="M220" s="63" t="str">
        <f>HYPERLINK("http://www.sapphireav.com/Sapphire-Smart-Move-4m-43-Two-Motor-Electric-Projection-Screen-Approx-Case-Dimensions-L-4317mm-x-H-250mm-x-D-170mm_p_524.html", "Click for Web Link")</f>
        <v>Click for Web Link</v>
      </c>
      <c r="N220" s="100">
        <v>99.5</v>
      </c>
      <c r="O220" s="69">
        <v>90</v>
      </c>
    </row>
    <row r="221" spans="1:15" x14ac:dyDescent="0.35">
      <c r="C221" t="s">
        <v>43</v>
      </c>
      <c r="D221" s="86">
        <v>5060558503076</v>
      </c>
      <c r="E221" t="s">
        <v>241</v>
      </c>
      <c r="F221" t="s">
        <v>245</v>
      </c>
      <c r="G221" t="s">
        <v>635</v>
      </c>
      <c r="H221" s="25" t="s">
        <v>239</v>
      </c>
      <c r="I221" t="s">
        <v>601</v>
      </c>
      <c r="J221" t="s">
        <v>279</v>
      </c>
      <c r="L221" s="30">
        <f>IF(ISNA(INDEX('DO NOT OPEN'!D:D,MATCH(C221,'DO NOT OPEN'!A:A,0),0)),"No Stock",INDEX('DO NOT OPEN'!D:D,MATCH(C221,'DO NOT OPEN'!A:A,0),0))</f>
        <v>3</v>
      </c>
      <c r="M221" s="63" t="str">
        <f>HYPERLINK("http://www.sapphireav.com/Sapphire-Tripod-Screen-Viewing-Area-1250mm-x-1250mm-11-Format_p_101.html", "Click for Web Link")</f>
        <v>Click for Web Link</v>
      </c>
      <c r="N221" s="100">
        <v>8.5</v>
      </c>
      <c r="O221" s="69">
        <v>12</v>
      </c>
    </row>
    <row r="222" spans="1:15" x14ac:dyDescent="0.35">
      <c r="C222" t="s">
        <v>41</v>
      </c>
      <c r="D222" s="86">
        <v>5060558503083</v>
      </c>
      <c r="E222" t="s">
        <v>241</v>
      </c>
      <c r="F222" t="s">
        <v>245</v>
      </c>
      <c r="G222" t="s">
        <v>259</v>
      </c>
      <c r="H222" s="25" t="s">
        <v>239</v>
      </c>
      <c r="I222" t="s">
        <v>601</v>
      </c>
      <c r="J222" t="s">
        <v>279</v>
      </c>
      <c r="L222" s="30">
        <f>IF(ISNA(INDEX('DO NOT OPEN'!D:D,MATCH(C222,'DO NOT OPEN'!A:A,0),0)),"No Stock",INDEX('DO NOT OPEN'!D:D,MATCH(C222,'DO NOT OPEN'!A:A,0),0))</f>
        <v>3</v>
      </c>
      <c r="M222" s="63" t="str">
        <f>HYPERLINK("http://www.sapphireav.com/Sapphire-Tripod-Screen-Viewing-Area-1500mm-x-1500mm-11-Format_p_99.html", "Click for Web Link")</f>
        <v>Click for Web Link</v>
      </c>
      <c r="N222" s="100">
        <v>9.5</v>
      </c>
      <c r="O222" s="69">
        <v>12</v>
      </c>
    </row>
    <row r="223" spans="1:15" x14ac:dyDescent="0.35">
      <c r="C223" s="23" t="s">
        <v>44</v>
      </c>
      <c r="D223" s="86">
        <v>5060558503090</v>
      </c>
      <c r="E223" t="s">
        <v>241</v>
      </c>
      <c r="F223" t="s">
        <v>245</v>
      </c>
      <c r="G223" t="s">
        <v>257</v>
      </c>
      <c r="H223" s="25" t="s">
        <v>239</v>
      </c>
      <c r="I223" t="s">
        <v>601</v>
      </c>
      <c r="J223" t="s">
        <v>279</v>
      </c>
      <c r="L223" s="30">
        <f>IF(ISNA(INDEX('DO NOT OPEN'!D:D,MATCH(C223,'DO NOT OPEN'!A:A,0),0)),"No Stock",INDEX('DO NOT OPEN'!D:D,MATCH(C223,'DO NOT OPEN'!A:A,0),0))</f>
        <v>4</v>
      </c>
      <c r="M223" s="63" t="str">
        <f>HYPERLINK("http://www.sapphireav.com/Sapphire-Tripod-Screen-Viewing-Area-1800mm-x-1800mm-11-Format_p_103.html", "Click for Web Link")</f>
        <v>Click for Web Link</v>
      </c>
      <c r="N223" s="100">
        <v>10</v>
      </c>
      <c r="O223" s="69">
        <v>12</v>
      </c>
    </row>
    <row r="224" spans="1:15" x14ac:dyDescent="0.35">
      <c r="C224" s="23" t="s">
        <v>45</v>
      </c>
      <c r="D224" s="86">
        <v>5060558503106</v>
      </c>
      <c r="E224" t="s">
        <v>241</v>
      </c>
      <c r="F224" t="s">
        <v>245</v>
      </c>
      <c r="G224" t="s">
        <v>256</v>
      </c>
      <c r="H224" s="25" t="s">
        <v>239</v>
      </c>
      <c r="I224" t="s">
        <v>601</v>
      </c>
      <c r="J224" t="s">
        <v>279</v>
      </c>
      <c r="L224" s="30">
        <f>IF(ISNA(INDEX('DO NOT OPEN'!D:D,MATCH(C224,'DO NOT OPEN'!A:A,0),0)),"No Stock",INDEX('DO NOT OPEN'!D:D,MATCH(C224,'DO NOT OPEN'!A:A,0),0))</f>
        <v>15</v>
      </c>
      <c r="M224" s="63" t="str">
        <f>HYPERLINK("http://www.sapphireav.com/Sapphire-Tripod-Screen-Viewing-Area-2000mm-x-2000mm-11-Format_p_104.html", "Click for Web Link")</f>
        <v>Click for Web Link</v>
      </c>
      <c r="N224" s="100">
        <v>11</v>
      </c>
      <c r="O224" s="69">
        <v>12</v>
      </c>
    </row>
    <row r="225" spans="2:16" x14ac:dyDescent="0.35">
      <c r="C225" t="s">
        <v>48</v>
      </c>
      <c r="D225" s="86">
        <v>5060558502314</v>
      </c>
      <c r="E225" t="s">
        <v>240</v>
      </c>
      <c r="F225" t="s">
        <v>250</v>
      </c>
      <c r="G225" t="s">
        <v>259</v>
      </c>
      <c r="H225" s="25" t="s">
        <v>239</v>
      </c>
      <c r="I225" t="s">
        <v>601</v>
      </c>
      <c r="L225" s="30">
        <f>IF(ISNA(INDEX('DO NOT OPEN'!D:D,MATCH(C225,'DO NOT OPEN'!A:A,0),0)),"No Stock",INDEX('DO NOT OPEN'!D:D,MATCH(C225,'DO NOT OPEN'!A:A,0),0))</f>
        <v>2</v>
      </c>
      <c r="M225" s="63" t="str">
        <f>HYPERLINK("http://www.sapphireav.com/Sapphire-Manual-Screen-Viewing-Area-1270mm-x-1270mm-not-channel-fix-Approx-Case-Dimensions-L-1490mm-x-H-89mm-x-D-87mm_p_109.html", "Click for Web Link")</f>
        <v>Click for Web Link</v>
      </c>
      <c r="N225" s="100">
        <v>7.3</v>
      </c>
      <c r="O225" s="69">
        <v>12</v>
      </c>
    </row>
    <row r="226" spans="2:16" x14ac:dyDescent="0.35">
      <c r="C226" t="s">
        <v>49</v>
      </c>
      <c r="D226" s="86">
        <v>5060558502321</v>
      </c>
      <c r="E226" t="s">
        <v>240</v>
      </c>
      <c r="F226" t="s">
        <v>250</v>
      </c>
      <c r="G226" t="s">
        <v>259</v>
      </c>
      <c r="H226" s="25" t="s">
        <v>239</v>
      </c>
      <c r="I226" t="s">
        <v>601</v>
      </c>
      <c r="L226" s="30">
        <f>IF(ISNA(INDEX('DO NOT OPEN'!D:D,MATCH(C226,'DO NOT OPEN'!A:A,0),0)),"No Stock",INDEX('DO NOT OPEN'!D:D,MATCH(C226,'DO NOT OPEN'!A:A,0),0))</f>
        <v>15</v>
      </c>
      <c r="M226" s="63" t="str">
        <f>HYPERLINK("http://www.sapphireav.com/Sapphire-Manual-Screen-Viewing-Area-1520mm-x-1520mm-not-channel-fix-Approx-Case-Dimensions-L-1690mm-x-H-89mm-x-D-87mm_p_110.html", "Click for Web Link")</f>
        <v>Click for Web Link</v>
      </c>
      <c r="N226" s="100">
        <v>7.6</v>
      </c>
      <c r="O226" s="69">
        <v>12</v>
      </c>
    </row>
    <row r="227" spans="2:16" x14ac:dyDescent="0.35">
      <c r="C227" t="s">
        <v>50</v>
      </c>
      <c r="D227" s="86">
        <v>5060558502338</v>
      </c>
      <c r="E227" t="s">
        <v>240</v>
      </c>
      <c r="F227" t="s">
        <v>250</v>
      </c>
      <c r="G227" t="s">
        <v>259</v>
      </c>
      <c r="H227" s="25" t="s">
        <v>218</v>
      </c>
      <c r="I227" t="s">
        <v>601</v>
      </c>
      <c r="L227" s="30">
        <f>IF(ISNA(INDEX('DO NOT OPEN'!D:D,MATCH(C227,'DO NOT OPEN'!A:A,0),0)),"No Stock",INDEX('DO NOT OPEN'!D:D,MATCH(C227,'DO NOT OPEN'!A:A,0),0))</f>
        <v>10</v>
      </c>
      <c r="M227" s="63" t="str">
        <f>HYPERLINK("http://www.sapphireav.com/Sapphire-Manual-Screen-Viewing-Area-1460mm-x-1100mm-not-channel-fix-Approx-Case-Dimesnions-L-1634mm-x-H-89mm-x-D-87mm_p_111.html", "Click for Web Link")</f>
        <v>Click for Web Link</v>
      </c>
      <c r="N227" s="100">
        <v>7.8</v>
      </c>
      <c r="O227" s="69">
        <v>12</v>
      </c>
    </row>
    <row r="228" spans="2:16" x14ac:dyDescent="0.35">
      <c r="B228" s="41"/>
      <c r="C228" t="s">
        <v>51</v>
      </c>
      <c r="D228" s="86">
        <v>5060558502345</v>
      </c>
      <c r="E228" t="s">
        <v>240</v>
      </c>
      <c r="F228" t="s">
        <v>250</v>
      </c>
      <c r="G228" t="s">
        <v>259</v>
      </c>
      <c r="H228" s="25" t="s">
        <v>219</v>
      </c>
      <c r="I228" t="s">
        <v>601</v>
      </c>
      <c r="L228" s="30">
        <f>IF(ISNA(INDEX('DO NOT OPEN'!D:D,MATCH(C228,'DO NOT OPEN'!A:A,0),0)),"No Stock",INDEX('DO NOT OPEN'!D:D,MATCH(C228,'DO NOT OPEN'!A:A,0),0))</f>
        <v>0</v>
      </c>
      <c r="M228" s="63" t="str">
        <f>HYPERLINK("http://www.sapphireav.com/Sapphire-Manul-Screen-Viewing-Area-1460mm-x-821mm-not-channel-fix-Approx-Case-Dimensions-L-1634mm-x-H-89mm-x-D-87mm_p_112.html", "Click for Web Link")</f>
        <v>Click for Web Link</v>
      </c>
      <c r="N228" s="100">
        <v>7.3</v>
      </c>
      <c r="O228" s="69">
        <v>12</v>
      </c>
      <c r="P228" s="41"/>
    </row>
    <row r="229" spans="2:16" x14ac:dyDescent="0.35">
      <c r="C229" t="s">
        <v>498</v>
      </c>
      <c r="D229" s="86">
        <v>5060558501348</v>
      </c>
      <c r="E229" s="2" t="s">
        <v>240</v>
      </c>
      <c r="F229" t="s">
        <v>250</v>
      </c>
      <c r="G229" t="s">
        <v>259</v>
      </c>
      <c r="H229" s="25" t="s">
        <v>220</v>
      </c>
      <c r="I229" t="s">
        <v>601</v>
      </c>
      <c r="L229" s="30">
        <f>IF(ISNA(INDEX('DO NOT OPEN'!D:D,MATCH(C229,'DO NOT OPEN'!A:A,0),0)),"No Stock",INDEX('DO NOT OPEN'!D:D,MATCH(C229,'DO NOT OPEN'!A:A,0),0))</f>
        <v>1</v>
      </c>
      <c r="M229" s="67" t="str">
        <f>HYPERLINK("http://www.sapphireav.com/Sapphire-15m-Manual-Screen-1610-Format-1460mm-x-9125mm-not-channel-fix-Approx-Case-Dimensions-L-1634mm-x-H-89mm-x-D-87mm_p_659.html", "Click for Web Link")</f>
        <v>Click for Web Link</v>
      </c>
      <c r="N229" s="100">
        <v>7.3</v>
      </c>
      <c r="O229" s="69">
        <v>12</v>
      </c>
    </row>
    <row r="230" spans="2:16" x14ac:dyDescent="0.35">
      <c r="C230" s="23" t="s">
        <v>52</v>
      </c>
      <c r="D230" s="86">
        <v>5060558502376</v>
      </c>
      <c r="E230" t="s">
        <v>240</v>
      </c>
      <c r="F230" t="s">
        <v>249</v>
      </c>
      <c r="G230" t="s">
        <v>257</v>
      </c>
      <c r="H230" s="25" t="s">
        <v>218</v>
      </c>
      <c r="I230" t="s">
        <v>601</v>
      </c>
      <c r="J230" t="s">
        <v>290</v>
      </c>
      <c r="L230" s="30">
        <f>IF(ISNA(INDEX('DO NOT OPEN'!D:D,MATCH(C230,'DO NOT OPEN'!A:A,0),0)),"No Stock",INDEX('DO NOT OPEN'!D:D,MATCH(C230,'DO NOT OPEN'!A:A,0),0))</f>
        <v>0</v>
      </c>
      <c r="M230" s="63" t="str">
        <f>HYPERLINK("http://www.sapphireav.com/Sapphire-Aluminum-Slow-Retraction-Manual-Screen-Viewing-Area-1710mm-x-1280mm-with-channel-fix-brackets-Approx-Case-Dimensions-L-1864mm-x-H-93mm-x-D-79mm_p_113.html", "Click for Web Link")</f>
        <v>Click for Web Link</v>
      </c>
      <c r="N230" s="100">
        <v>8.5</v>
      </c>
      <c r="O230" s="69">
        <v>12</v>
      </c>
    </row>
    <row r="231" spans="2:16" x14ac:dyDescent="0.35">
      <c r="C231" s="23" t="s">
        <v>53</v>
      </c>
      <c r="D231" s="86">
        <v>5060558502352</v>
      </c>
      <c r="E231" t="s">
        <v>240</v>
      </c>
      <c r="F231" t="s">
        <v>250</v>
      </c>
      <c r="G231" t="s">
        <v>257</v>
      </c>
      <c r="H231" s="25" t="s">
        <v>239</v>
      </c>
      <c r="I231" t="s">
        <v>601</v>
      </c>
      <c r="L231" s="30">
        <f>IF(ISNA(INDEX('DO NOT OPEN'!D:D,MATCH(C231,'DO NOT OPEN'!A:A,0),0)),"No Stock",INDEX('DO NOT OPEN'!D:D,MATCH(C231,'DO NOT OPEN'!A:A,0),0))</f>
        <v>5</v>
      </c>
      <c r="M231" s="63" t="str">
        <f>HYPERLINK("http://www.sapphireav.com/Sapphire-Manual-Screen-Viewing-Area-1780mm-x-1780mm-not-channel-fix-Approx-Case-Dimensions-L-1946mm-x-H-89mm-x-D-87mm_p_114.html", "Click for Web Link")</f>
        <v>Click for Web Link</v>
      </c>
      <c r="N231" s="100">
        <v>9.8000000000000007</v>
      </c>
      <c r="O231" s="69">
        <v>12</v>
      </c>
    </row>
    <row r="232" spans="2:16" x14ac:dyDescent="0.35">
      <c r="C232" s="23" t="s">
        <v>54</v>
      </c>
      <c r="D232" s="86">
        <v>5060558502369</v>
      </c>
      <c r="E232" t="s">
        <v>240</v>
      </c>
      <c r="F232" t="s">
        <v>250</v>
      </c>
      <c r="G232" t="s">
        <v>257</v>
      </c>
      <c r="H232" s="25" t="s">
        <v>218</v>
      </c>
      <c r="I232" t="s">
        <v>601</v>
      </c>
      <c r="L232" s="30">
        <f>IF(ISNA(INDEX('DO NOT OPEN'!D:D,MATCH(C232,'DO NOT OPEN'!A:A,0),0)),"No Stock",INDEX('DO NOT OPEN'!D:D,MATCH(C232,'DO NOT OPEN'!A:A,0),0))</f>
        <v>35</v>
      </c>
      <c r="M232" s="63" t="str">
        <f>HYPERLINK("http://www.sapphireav.com/Sapphire-Manual-Screen-Viewing-Area-1710mm-x-1280mm-not-channel-fix-Approx-Case-Dimensions-L-1946mm-x-H-89mm-x-D-87mm_p_115.html", "Click for Web Link")</f>
        <v>Click for Web Link</v>
      </c>
      <c r="N232" s="100">
        <v>9.1999999999999993</v>
      </c>
      <c r="O232" s="69">
        <v>12</v>
      </c>
    </row>
    <row r="233" spans="2:16" x14ac:dyDescent="0.35">
      <c r="C233" s="23" t="s">
        <v>55</v>
      </c>
      <c r="D233" s="86">
        <v>5060558502383</v>
      </c>
      <c r="E233" t="s">
        <v>240</v>
      </c>
      <c r="F233" t="s">
        <v>250</v>
      </c>
      <c r="G233" t="s">
        <v>257</v>
      </c>
      <c r="H233" s="25" t="s">
        <v>219</v>
      </c>
      <c r="I233" t="s">
        <v>601</v>
      </c>
      <c r="L233" s="30">
        <f>IF(ISNA(INDEX('DO NOT OPEN'!D:D,MATCH(C233,'DO NOT OPEN'!A:A,0),0)),"No Stock",INDEX('DO NOT OPEN'!D:D,MATCH(C233,'DO NOT OPEN'!A:A,0),0))</f>
        <v>4</v>
      </c>
      <c r="M233" s="63" t="str">
        <f>HYPERLINK("http://www.sapphireav.com/Sapphire-Projection-Screen-Viewing-Area-1704mm-x-958mm-not-channel-fix-Approx-Case-Dimensions-L-1946mm-x-H-89mm-x-D-87mm_p_117.html", "Click for Web Link")</f>
        <v>Click for Web Link</v>
      </c>
      <c r="N233" s="100">
        <v>7.6</v>
      </c>
      <c r="O233" s="69">
        <v>12</v>
      </c>
    </row>
    <row r="234" spans="2:16" x14ac:dyDescent="0.35">
      <c r="C234" s="23" t="s">
        <v>132</v>
      </c>
      <c r="D234" s="86">
        <v>5060558503229</v>
      </c>
      <c r="E234" t="s">
        <v>240</v>
      </c>
      <c r="F234" t="s">
        <v>250</v>
      </c>
      <c r="G234" t="s">
        <v>257</v>
      </c>
      <c r="H234" s="25" t="s">
        <v>220</v>
      </c>
      <c r="I234" t="s">
        <v>601</v>
      </c>
      <c r="L234" s="30">
        <f>IF(ISNA(INDEX('DO NOT OPEN'!D:D,MATCH(C234,'DO NOT OPEN'!A:A,0),0)),"No Stock",INDEX('DO NOT OPEN'!D:D,MATCH(C234,'DO NOT OPEN'!A:A,0),0))</f>
        <v>1</v>
      </c>
      <c r="M234" s="63" t="str">
        <f>HYPERLINK("http://www.sapphireav.com/Sapphire-Manual-Screen-Viewing-Area-1710mm-x-1069mm-not-channel-fix-Approx-Case-Dimensions-L-1946mm-x-H-89mm-x-D-87mm_p_458.html", "Click for Web Link")</f>
        <v>Click for Web Link</v>
      </c>
      <c r="N234" s="100">
        <v>7.6</v>
      </c>
      <c r="O234" s="69">
        <v>12</v>
      </c>
    </row>
    <row r="235" spans="2:16" x14ac:dyDescent="0.35">
      <c r="C235" s="23" t="s">
        <v>153</v>
      </c>
      <c r="D235" s="86">
        <v>5060558503267</v>
      </c>
      <c r="E235" t="s">
        <v>240</v>
      </c>
      <c r="F235" t="s">
        <v>249</v>
      </c>
      <c r="G235" t="s">
        <v>257</v>
      </c>
      <c r="H235" s="25" t="s">
        <v>220</v>
      </c>
      <c r="I235" t="s">
        <v>601</v>
      </c>
      <c r="J235" t="s">
        <v>290</v>
      </c>
      <c r="L235" s="30">
        <f>IF(ISNA(INDEX('DO NOT OPEN'!D:D,MATCH(C235,'DO NOT OPEN'!A:A,0),0)),"No Stock",INDEX('DO NOT OPEN'!D:D,MATCH(C235,'DO NOT OPEN'!A:A,0),0))</f>
        <v>29</v>
      </c>
      <c r="M235" s="63" t="str">
        <f>HYPERLINK("http://www.sapphireav.com/Sapphire-Aluminum-Slow-Retraction-Manual-Screen-Viewing-Area-1704mm-x-1069mm-with-channel-fix-brackets-Approx-Case-Dimensions-L-1864mm-x-H-93mm-x-D-79mm_p_507.html", "Click for Web Link")</f>
        <v>Click for Web Link</v>
      </c>
      <c r="N235" s="100">
        <v>7.8</v>
      </c>
      <c r="O235" s="69">
        <v>12</v>
      </c>
    </row>
    <row r="236" spans="2:16" x14ac:dyDescent="0.35">
      <c r="C236" s="23" t="s">
        <v>56</v>
      </c>
      <c r="D236" s="86">
        <v>5060558502390</v>
      </c>
      <c r="E236" t="s">
        <v>240</v>
      </c>
      <c r="F236" t="s">
        <v>249</v>
      </c>
      <c r="G236" t="s">
        <v>257</v>
      </c>
      <c r="H236" s="25" t="s">
        <v>219</v>
      </c>
      <c r="I236" t="s">
        <v>601</v>
      </c>
      <c r="J236" t="s">
        <v>290</v>
      </c>
      <c r="L236" s="30">
        <f>IF(ISNA(INDEX('DO NOT OPEN'!D:D,MATCH(C236,'DO NOT OPEN'!A:A,0),0)),"No Stock",INDEX('DO NOT OPEN'!D:D,MATCH(C236,'DO NOT OPEN'!A:A,0),0))</f>
        <v>0</v>
      </c>
      <c r="M236" s="63" t="str">
        <f>HYPERLINK("http://www.sapphireav.com/Sapphire-Aluminum-Slow-Retraction-Manual-Screen-Viewing-Area-1704mm-x-958mm-with-channel-fix-brackets-Approx-Case-Dimensions-L-1864mm-x-H-93mm-x-D-79mm_p_119.html", "Click for Web Link")</f>
        <v>Click for Web Link</v>
      </c>
      <c r="N236" s="100">
        <v>7.8</v>
      </c>
      <c r="O236" s="69">
        <v>12</v>
      </c>
    </row>
    <row r="237" spans="2:16" x14ac:dyDescent="0.35">
      <c r="C237" s="23" t="s">
        <v>57</v>
      </c>
      <c r="D237" s="86">
        <v>5060558502420</v>
      </c>
      <c r="E237" t="s">
        <v>240</v>
      </c>
      <c r="F237" t="s">
        <v>249</v>
      </c>
      <c r="G237" t="s">
        <v>256</v>
      </c>
      <c r="H237" s="25" t="s">
        <v>218</v>
      </c>
      <c r="I237" t="s">
        <v>601</v>
      </c>
      <c r="J237" t="s">
        <v>290</v>
      </c>
      <c r="L237" s="30">
        <f>IF(ISNA(INDEX('DO NOT OPEN'!D:D,MATCH(C237,'DO NOT OPEN'!A:A,0),0)),"No Stock",INDEX('DO NOT OPEN'!D:D,MATCH(C237,'DO NOT OPEN'!A:A,0),0))</f>
        <v>4</v>
      </c>
      <c r="M237" s="63" t="str">
        <f>HYPERLINK("http://www.sapphireav.com/Sapphire-Aluminum-Slow-Retraction-Manual-Screen-Viewing-Area-2030mm-x-1520mm-with-channel-fix-brackets-Approx-Case-Dimensions-L-2204mm-x-H-93mm-x-D-79mm_p_120.html", "Click for Web Link")</f>
        <v>Click for Web Link</v>
      </c>
      <c r="N237" s="100">
        <v>10.3</v>
      </c>
      <c r="O237" s="69">
        <v>12</v>
      </c>
    </row>
    <row r="238" spans="2:16" x14ac:dyDescent="0.35">
      <c r="C238" s="23" t="s">
        <v>58</v>
      </c>
      <c r="D238" s="86">
        <v>5060558502406</v>
      </c>
      <c r="E238" t="s">
        <v>240</v>
      </c>
      <c r="F238" t="s">
        <v>250</v>
      </c>
      <c r="G238" t="s">
        <v>256</v>
      </c>
      <c r="H238" s="25" t="s">
        <v>239</v>
      </c>
      <c r="I238" t="s">
        <v>601</v>
      </c>
      <c r="L238" s="30">
        <f>IF(ISNA(INDEX('DO NOT OPEN'!D:D,MATCH(C238,'DO NOT OPEN'!A:A,0),0)),"No Stock",INDEX('DO NOT OPEN'!D:D,MATCH(C238,'DO NOT OPEN'!A:A,0),0))</f>
        <v>1</v>
      </c>
      <c r="M238" s="63" t="str">
        <f>HYPERLINK("http://www.sapphireav.com/Sapphire-Manual-Screen-Viewing-Area-2030mm-x-2030mm-not-channel-fix-Approx-Case-Dimensions-L-2250mm-x-H-89mm-x-D-87mm_p_121.html", "Click for Web Link")</f>
        <v>Click for Web Link</v>
      </c>
      <c r="N238" s="100">
        <v>11.7</v>
      </c>
      <c r="O238" s="69">
        <v>12</v>
      </c>
    </row>
    <row r="239" spans="2:16" x14ac:dyDescent="0.35">
      <c r="C239" s="23" t="s">
        <v>59</v>
      </c>
      <c r="D239" s="86">
        <v>5060558502413</v>
      </c>
      <c r="E239" t="s">
        <v>240</v>
      </c>
      <c r="F239" t="s">
        <v>250</v>
      </c>
      <c r="G239" t="s">
        <v>256</v>
      </c>
      <c r="H239" s="25" t="s">
        <v>218</v>
      </c>
      <c r="I239" t="s">
        <v>601</v>
      </c>
      <c r="L239" s="30">
        <f>IF(ISNA(INDEX('DO NOT OPEN'!D:D,MATCH(C239,'DO NOT OPEN'!A:A,0),0)),"No Stock",INDEX('DO NOT OPEN'!D:D,MATCH(C239,'DO NOT OPEN'!A:A,0),0))</f>
        <v>17</v>
      </c>
      <c r="M239" s="63" t="str">
        <f>HYPERLINK("http://www.sapphireav.com/Sapphire-Manual-Screen-Viewing-Area-2030mm-x-1520mm-not-channel-fix_p_122.html", "Click for Web Link")</f>
        <v>Click for Web Link</v>
      </c>
      <c r="N239" s="100">
        <v>11.2</v>
      </c>
      <c r="O239" s="69">
        <v>12</v>
      </c>
    </row>
    <row r="240" spans="2:16" x14ac:dyDescent="0.35">
      <c r="C240" s="23" t="s">
        <v>60</v>
      </c>
      <c r="D240" s="86">
        <v>5060558502437</v>
      </c>
      <c r="E240" t="s">
        <v>240</v>
      </c>
      <c r="F240" t="s">
        <v>250</v>
      </c>
      <c r="G240" t="s">
        <v>256</v>
      </c>
      <c r="H240" s="25" t="s">
        <v>219</v>
      </c>
      <c r="I240" t="s">
        <v>601</v>
      </c>
      <c r="L240" s="30">
        <f>IF(ISNA(INDEX('DO NOT OPEN'!D:D,MATCH(C240,'DO NOT OPEN'!A:A,0),0)),"No Stock",INDEX('DO NOT OPEN'!D:D,MATCH(C240,'DO NOT OPEN'!A:A,0),0))</f>
        <v>0</v>
      </c>
      <c r="M240" s="63" t="str">
        <f>HYPERLINK("http://www.sapphireav.com/Sapphire-Manual-Screen-Viewing-Area-2033mm-x-1145mm-not-channel-fix-Approx-Case-Dimensions-L-2250mm-x-H-89mm-x-D-87mm_p_124.html", "Click for Web Link")</f>
        <v>Click for Web Link</v>
      </c>
      <c r="N240" s="100">
        <v>11.3</v>
      </c>
      <c r="O240" s="69">
        <v>12</v>
      </c>
    </row>
    <row r="241" spans="3:15" x14ac:dyDescent="0.35">
      <c r="C241" s="23" t="s">
        <v>133</v>
      </c>
      <c r="D241" s="86">
        <v>5060558503236</v>
      </c>
      <c r="E241" t="s">
        <v>240</v>
      </c>
      <c r="F241" t="s">
        <v>250</v>
      </c>
      <c r="G241" t="s">
        <v>256</v>
      </c>
      <c r="H241" s="25" t="s">
        <v>220</v>
      </c>
      <c r="I241" t="s">
        <v>601</v>
      </c>
      <c r="L241" s="30">
        <f>IF(ISNA(INDEX('DO NOT OPEN'!D:D,MATCH(C241,'DO NOT OPEN'!A:A,0),0)),"No Stock",INDEX('DO NOT OPEN'!D:D,MATCH(C241,'DO NOT OPEN'!A:A,0),0))</f>
        <v>27</v>
      </c>
      <c r="M241" s="63" t="str">
        <f>HYPERLINK("http://www.sapphireav.com/Sapphire-Manual-Screen-Viewing-Area-2030mm-x-1269mm-not-channel-fix-Approx-Case-Dimensions-L-2250mm-x-H-89mm-x-D-87mm_p_459.html", "Click for Web Link")</f>
        <v>Click for Web Link</v>
      </c>
      <c r="N241" s="100">
        <v>11.3</v>
      </c>
      <c r="O241" s="69">
        <v>12</v>
      </c>
    </row>
    <row r="242" spans="3:15" x14ac:dyDescent="0.35">
      <c r="C242" s="23" t="s">
        <v>154</v>
      </c>
      <c r="D242" s="86">
        <v>5060558503274</v>
      </c>
      <c r="E242" t="s">
        <v>240</v>
      </c>
      <c r="F242" t="s">
        <v>249</v>
      </c>
      <c r="G242" t="s">
        <v>256</v>
      </c>
      <c r="H242" s="25" t="s">
        <v>220</v>
      </c>
      <c r="I242" t="s">
        <v>601</v>
      </c>
      <c r="J242" t="s">
        <v>290</v>
      </c>
      <c r="L242" s="30">
        <f>IF(ISNA(INDEX('DO NOT OPEN'!D:D,MATCH(C242,'DO NOT OPEN'!A:A,0),0)),"No Stock",INDEX('DO NOT OPEN'!D:D,MATCH(C242,'DO NOT OPEN'!A:A,0),0))</f>
        <v>26</v>
      </c>
      <c r="M242" s="63" t="str">
        <f>HYPERLINK("http://www.sapphireav.com/Sapphire-Aluminum-Slow-Retraction-Manual-Screen-Viewing-Area-2030mm-x-1269mm-with-channel-fix-brackets-Approx-Case-Dimensions-L-2204mm-x-H-93mm-x-D-79mm_p_508.html", "Click for Web Link")</f>
        <v>Click for Web Link</v>
      </c>
      <c r="N242" s="100">
        <v>10.199999999999999</v>
      </c>
      <c r="O242" s="69">
        <v>12</v>
      </c>
    </row>
    <row r="243" spans="3:15" x14ac:dyDescent="0.35">
      <c r="C243" s="23" t="s">
        <v>61</v>
      </c>
      <c r="D243" s="86">
        <v>5060558502444</v>
      </c>
      <c r="E243" t="s">
        <v>240</v>
      </c>
      <c r="F243" t="s">
        <v>249</v>
      </c>
      <c r="G243" t="s">
        <v>256</v>
      </c>
      <c r="H243" s="25" t="s">
        <v>219</v>
      </c>
      <c r="I243" t="s">
        <v>601</v>
      </c>
      <c r="J243" t="s">
        <v>290</v>
      </c>
      <c r="L243" s="30">
        <f>IF(ISNA(INDEX('DO NOT OPEN'!D:D,MATCH(C243,'DO NOT OPEN'!A:A,0),0)),"No Stock",INDEX('DO NOT OPEN'!D:D,MATCH(C243,'DO NOT OPEN'!A:A,0),0))</f>
        <v>37</v>
      </c>
      <c r="M243" s="63" t="str">
        <f>HYPERLINK("http://www.sapphireav.com/Sapphire-Aluminum-Slow-Retraction-Manual-Screen-Viewing-Area-2030mm-x-1145mm-with-channel-fix-brackets-Approx-Case-Dimensions-L-2204mm-x-H-93mm-x-D-79mm_p_126.html", "Click for Web Link")</f>
        <v>Click for Web Link</v>
      </c>
      <c r="N243" s="100">
        <v>10.3</v>
      </c>
      <c r="O243" s="69">
        <v>12</v>
      </c>
    </row>
    <row r="244" spans="3:15" x14ac:dyDescent="0.35">
      <c r="C244" s="23" t="s">
        <v>62</v>
      </c>
      <c r="D244" s="86">
        <v>5060558502475</v>
      </c>
      <c r="E244" t="s">
        <v>240</v>
      </c>
      <c r="F244" t="s">
        <v>249</v>
      </c>
      <c r="G244" t="s">
        <v>255</v>
      </c>
      <c r="H244" s="25" t="s">
        <v>218</v>
      </c>
      <c r="I244" t="s">
        <v>601</v>
      </c>
      <c r="J244" t="s">
        <v>290</v>
      </c>
      <c r="L244" s="30">
        <f>IF(ISNA(INDEX('DO NOT OPEN'!D:D,MATCH(C244,'DO NOT OPEN'!A:A,0),0)),"No Stock",INDEX('DO NOT OPEN'!D:D,MATCH(C244,'DO NOT OPEN'!A:A,0),0))</f>
        <v>15</v>
      </c>
      <c r="M244" s="63" t="str">
        <f>HYPERLINK("http://www.sapphireav.com/Sapphire-Aluminum-Slow-Retraction-Manual-Screen-Viewing-Area-2340mm-x-1755mm-Approx-Case-Dimensions-L-2508mm-x-H-93mm-x-D-79mm_p_127.html", "Click for Web Link")</f>
        <v>Click for Web Link</v>
      </c>
      <c r="N244" s="100">
        <v>13</v>
      </c>
      <c r="O244" s="69">
        <v>12</v>
      </c>
    </row>
    <row r="245" spans="3:15" x14ac:dyDescent="0.35">
      <c r="C245" s="23" t="s">
        <v>63</v>
      </c>
      <c r="D245" s="86">
        <v>5060558502451</v>
      </c>
      <c r="E245" t="s">
        <v>240</v>
      </c>
      <c r="F245" t="s">
        <v>249</v>
      </c>
      <c r="G245" t="s">
        <v>255</v>
      </c>
      <c r="H245" s="25" t="s">
        <v>239</v>
      </c>
      <c r="I245" t="s">
        <v>601</v>
      </c>
      <c r="J245" t="s">
        <v>290</v>
      </c>
      <c r="L245" s="30">
        <f>IF(ISNA(INDEX('DO NOT OPEN'!D:D,MATCH(C245,'DO NOT OPEN'!A:A,0),0)),"No Stock",INDEX('DO NOT OPEN'!D:D,MATCH(C245,'DO NOT OPEN'!A:A,0),0))</f>
        <v>5</v>
      </c>
      <c r="M245" s="63" t="str">
        <f>HYPERLINK("http://www.sapphireav.com/Sapphire-Manual-Screen-Viewing-Area-2340mm-x-2340mm-slow-retraction-channel-fix-Approx-Case-Dimensions-L-2509mm-x-H-96mm-x-D-91mm_p_128.html", "Click for Web Link")</f>
        <v>Click for Web Link</v>
      </c>
      <c r="N245" s="100">
        <v>13.7</v>
      </c>
      <c r="O245" s="69">
        <v>12</v>
      </c>
    </row>
    <row r="246" spans="3:15" x14ac:dyDescent="0.35">
      <c r="C246" s="23" t="s">
        <v>2</v>
      </c>
      <c r="D246" s="86">
        <v>5060558502468</v>
      </c>
      <c r="E246" t="s">
        <v>240</v>
      </c>
      <c r="F246" t="s">
        <v>250</v>
      </c>
      <c r="G246" t="s">
        <v>255</v>
      </c>
      <c r="H246" s="25" t="s">
        <v>218</v>
      </c>
      <c r="I246" t="s">
        <v>601</v>
      </c>
      <c r="L246" s="30">
        <f>IF(ISNA(INDEX('DO NOT OPEN'!D:D,MATCH(C246,'DO NOT OPEN'!A:A,0),0)),"No Stock",INDEX('DO NOT OPEN'!D:D,MATCH(C246,'DO NOT OPEN'!A:A,0),0))</f>
        <v>3</v>
      </c>
      <c r="M246" s="63" t="str">
        <f>HYPERLINK("http://www.sapphireav.com/Sapphire-Manual-Screen-Viewing-Area-2340mm-x-1755mm-not-channel-fix-Approx-Case-Dimensions-L-2562mm-x-H-89mm-x-D-87mm_p_14.html", "Click for Web Link")</f>
        <v>Click for Web Link</v>
      </c>
      <c r="N246" s="100">
        <v>13.6</v>
      </c>
      <c r="O246" s="69">
        <v>12</v>
      </c>
    </row>
    <row r="247" spans="3:15" x14ac:dyDescent="0.35">
      <c r="C247" s="23" t="s">
        <v>64</v>
      </c>
      <c r="D247" s="86">
        <v>5060558501010</v>
      </c>
      <c r="E247" t="s">
        <v>240</v>
      </c>
      <c r="F247" t="s">
        <v>250</v>
      </c>
      <c r="G247" t="s">
        <v>255</v>
      </c>
      <c r="H247" s="25" t="s">
        <v>219</v>
      </c>
      <c r="I247" t="s">
        <v>601</v>
      </c>
      <c r="L247" s="30">
        <f>IF(ISNA(INDEX('DO NOT OPEN'!D:D,MATCH(C247,'DO NOT OPEN'!A:A,0),0)),"No Stock",INDEX('DO NOT OPEN'!D:D,MATCH(C247,'DO NOT OPEN'!A:A,0),0))</f>
        <v>1</v>
      </c>
      <c r="M247" s="63" t="str">
        <f>HYPERLINK("http://www.sapphireav.com/Sapphire-Manual-Screen-Viewing-Area-2340mm-x-1320mm-not-channel-fix-Approx-Case-Dimensions-L-2554mm-x-H-89mm-x-D-87mm_p_130.html", "Click for Web Link")</f>
        <v>Click for Web Link</v>
      </c>
      <c r="N247" s="100">
        <v>13.6</v>
      </c>
      <c r="O247" s="69">
        <v>12</v>
      </c>
    </row>
    <row r="248" spans="3:15" x14ac:dyDescent="0.35">
      <c r="C248" s="23" t="s">
        <v>134</v>
      </c>
      <c r="D248" s="86">
        <v>5060558503243</v>
      </c>
      <c r="E248" t="s">
        <v>240</v>
      </c>
      <c r="F248" t="s">
        <v>250</v>
      </c>
      <c r="G248" t="s">
        <v>255</v>
      </c>
      <c r="H248" s="25" t="s">
        <v>220</v>
      </c>
      <c r="I248" t="s">
        <v>601</v>
      </c>
      <c r="L248" s="30">
        <f>IF(ISNA(INDEX('DO NOT OPEN'!D:D,MATCH(C248,'DO NOT OPEN'!A:A,0),0)),"No Stock",INDEX('DO NOT OPEN'!D:D,MATCH(C248,'DO NOT OPEN'!A:A,0),0))</f>
        <v>5</v>
      </c>
      <c r="M248" s="63" t="str">
        <f>HYPERLINK("http://www.sapphireav.com/Sapphire-Manual-Screen-Viewing-Area-2340mm-x-1463mm-not-channel-fix-Approx-Case-Dimensions-L-2554mm-x-H-89mm-x-D-87mm_p_460.html", "Click for Web Link")</f>
        <v>Click for Web Link</v>
      </c>
      <c r="N248" s="100">
        <v>13.6</v>
      </c>
      <c r="O248" s="69">
        <v>12</v>
      </c>
    </row>
    <row r="249" spans="3:15" x14ac:dyDescent="0.35">
      <c r="C249" s="23" t="s">
        <v>155</v>
      </c>
      <c r="D249" s="86">
        <v>5060558503281</v>
      </c>
      <c r="E249" t="s">
        <v>240</v>
      </c>
      <c r="F249" t="s">
        <v>249</v>
      </c>
      <c r="G249" t="s">
        <v>255</v>
      </c>
      <c r="H249" s="25" t="s">
        <v>220</v>
      </c>
      <c r="I249" t="s">
        <v>601</v>
      </c>
      <c r="J249" t="s">
        <v>290</v>
      </c>
      <c r="L249" s="30">
        <f>IF(ISNA(INDEX('DO NOT OPEN'!D:D,MATCH(C249,'DO NOT OPEN'!A:A,0),0)),"No Stock",INDEX('DO NOT OPEN'!D:D,MATCH(C249,'DO NOT OPEN'!A:A,0),0))</f>
        <v>33</v>
      </c>
      <c r="M249" s="63" t="str">
        <f>HYPERLINK("http://www.sapphireav.com/Sapphire-Aluminum-Slow-Retraction-Manual-Screen-Viewing-Area-2340mm-x-1463mm-with-channel-fix-brackets-Approx-Case-Dimensions-L-2508mm-x-H-93mm-x-D-79mm_p_509.html", "Click for Web Link")</f>
        <v>Click for Web Link</v>
      </c>
      <c r="N249" s="100">
        <v>13</v>
      </c>
      <c r="O249" s="69">
        <v>12</v>
      </c>
    </row>
    <row r="250" spans="3:15" x14ac:dyDescent="0.35">
      <c r="C250" s="23" t="s">
        <v>65</v>
      </c>
      <c r="D250" s="86">
        <v>5060558502482</v>
      </c>
      <c r="E250" t="s">
        <v>240</v>
      </c>
      <c r="F250" t="s">
        <v>249</v>
      </c>
      <c r="G250" t="s">
        <v>255</v>
      </c>
      <c r="H250" s="25" t="s">
        <v>219</v>
      </c>
      <c r="I250" t="s">
        <v>601</v>
      </c>
      <c r="J250" t="s">
        <v>290</v>
      </c>
      <c r="L250" s="30">
        <f>IF(ISNA(INDEX('DO NOT OPEN'!D:D,MATCH(C250,'DO NOT OPEN'!A:A,0),0)),"No Stock",INDEX('DO NOT OPEN'!D:D,MATCH(C250,'DO NOT OPEN'!A:A,0),0))</f>
        <v>28</v>
      </c>
      <c r="M250" s="63" t="str">
        <f>HYPERLINK("http://www.sapphireav.com/Sapphire-Aluminum-Slow-Retraction-Manual-Screen-Viewing-Area-2340mm-x-1320mm-with-channel-fix-brackets-Approx-Case-Dimensions-L-2508mm-x-H-93mm-x-D-79mm_p_132.html", "Click for Web Link")</f>
        <v>Click for Web Link</v>
      </c>
      <c r="N250" s="100">
        <v>13</v>
      </c>
      <c r="O250" s="69">
        <v>12</v>
      </c>
    </row>
    <row r="251" spans="3:15" x14ac:dyDescent="0.35">
      <c r="C251" s="23" t="s">
        <v>66</v>
      </c>
      <c r="D251" s="86">
        <v>5060558502505</v>
      </c>
      <c r="E251" t="s">
        <v>240</v>
      </c>
      <c r="F251" t="s">
        <v>249</v>
      </c>
      <c r="G251" t="s">
        <v>286</v>
      </c>
      <c r="H251" s="25" t="s">
        <v>218</v>
      </c>
      <c r="I251" t="s">
        <v>601</v>
      </c>
      <c r="J251" t="s">
        <v>290</v>
      </c>
      <c r="K251" t="s">
        <v>636</v>
      </c>
      <c r="L251" s="30">
        <f>IF(ISNA(INDEX('DO NOT OPEN'!D:D,MATCH(C251,'DO NOT OPEN'!A:A,0),0)),"No Stock",INDEX('DO NOT OPEN'!D:D,MATCH(C251,'DO NOT OPEN'!A:A,0),0))</f>
        <v>7</v>
      </c>
      <c r="M251" s="63" t="str">
        <f>HYPERLINK("http://www.sapphireav.com/Sapphire-Aluminum-Slow-Retraction-Manual-Screen-Viewing-Area-2700mm-x-2027mm-with-channel-fix-brackets-Approx-Case-Dimensions-L-2878mm-x-H-96mm-x-D-91mm_p_134.html", "Click for Web Link")</f>
        <v>Click for Web Link</v>
      </c>
      <c r="N251" s="100">
        <v>15.8</v>
      </c>
      <c r="O251" s="69">
        <v>15</v>
      </c>
    </row>
    <row r="252" spans="3:15" x14ac:dyDescent="0.35">
      <c r="C252" s="23" t="s">
        <v>1</v>
      </c>
      <c r="D252" s="86">
        <v>5060558502499</v>
      </c>
      <c r="E252" t="s">
        <v>240</v>
      </c>
      <c r="F252" t="s">
        <v>250</v>
      </c>
      <c r="G252" t="s">
        <v>286</v>
      </c>
      <c r="H252" s="25" t="s">
        <v>218</v>
      </c>
      <c r="I252" t="s">
        <v>601</v>
      </c>
      <c r="K252" t="s">
        <v>636</v>
      </c>
      <c r="L252" s="30">
        <f>IF(ISNA(INDEX('DO NOT OPEN'!D:D,MATCH(C252,'DO NOT OPEN'!A:A,0),0)),"No Stock",INDEX('DO NOT OPEN'!D:D,MATCH(C252,'DO NOT OPEN'!A:A,0),0))</f>
        <v>0</v>
      </c>
      <c r="M252" s="63" t="str">
        <f>HYPERLINK("http://www.sapphireav.com/Sapphire-Manual-Screen-Viewing-Area-2700mm-x-2027mm-not-channel-fix-Approx-Case-Dimensions-L-2964mm-x-H-117mm-x-D-117mm_p_12.html", "Click for Web Link")</f>
        <v>Click for Web Link</v>
      </c>
      <c r="N252" s="100">
        <v>18</v>
      </c>
      <c r="O252" s="69">
        <v>15</v>
      </c>
    </row>
    <row r="253" spans="3:15" x14ac:dyDescent="0.35">
      <c r="C253" s="23" t="s">
        <v>67</v>
      </c>
      <c r="D253" s="86">
        <v>5060558502529</v>
      </c>
      <c r="E253" t="s">
        <v>240</v>
      </c>
      <c r="F253" t="s">
        <v>250</v>
      </c>
      <c r="G253" t="s">
        <v>286</v>
      </c>
      <c r="H253" s="25" t="s">
        <v>219</v>
      </c>
      <c r="I253" t="s">
        <v>601</v>
      </c>
      <c r="K253" t="s">
        <v>636</v>
      </c>
      <c r="L253" s="30">
        <f>IF(ISNA(INDEX('DO NOT OPEN'!D:D,MATCH(C253,'DO NOT OPEN'!A:A,0),0)),"No Stock",INDEX('DO NOT OPEN'!D:D,MATCH(C253,'DO NOT OPEN'!A:A,0),0))</f>
        <v>9</v>
      </c>
      <c r="M253" s="63" t="str">
        <f>HYPERLINK("http://www.sapphireav.com/Sapphire-Manual-Screen-Viewing-Area-2700mm-x-1518mm-not-channel-fix-Approx-Case-Dimensions-L-2700mm-x-H-117mm-x-D-117mm_p_136.html", "Click for Web Link")</f>
        <v>Click for Web Link</v>
      </c>
      <c r="N253" s="100">
        <v>18</v>
      </c>
      <c r="O253" s="69">
        <v>15</v>
      </c>
    </row>
    <row r="254" spans="3:15" x14ac:dyDescent="0.35">
      <c r="C254" s="23" t="s">
        <v>238</v>
      </c>
      <c r="D254" s="86">
        <v>5060558503250</v>
      </c>
      <c r="E254" t="s">
        <v>240</v>
      </c>
      <c r="F254" t="s">
        <v>250</v>
      </c>
      <c r="G254" t="s">
        <v>258</v>
      </c>
      <c r="H254" s="25" t="s">
        <v>220</v>
      </c>
      <c r="I254" t="s">
        <v>601</v>
      </c>
      <c r="K254" t="s">
        <v>636</v>
      </c>
      <c r="L254" s="30">
        <f>IF(ISNA(INDEX('DO NOT OPEN'!D:D,MATCH(C254,'DO NOT OPEN'!A:A,0),0)),"No Stock",INDEX('DO NOT OPEN'!D:D,MATCH(C254,'DO NOT OPEN'!A:A,0),0))</f>
        <v>23</v>
      </c>
      <c r="M254" s="63" t="str">
        <f>HYPERLINK("http://www.sapphireav.com/Sapphire-Manual-Screen-Viewing-Area-2700mm-x-1688mm-not-channel-fix-Approx-Case-Dimensions-L-2700mm-x-H-117mm-x-D-117mm_p_505.html", "Click for Web Link")</f>
        <v>Click for Web Link</v>
      </c>
      <c r="N254" s="100">
        <v>18</v>
      </c>
      <c r="O254" s="69">
        <v>15</v>
      </c>
    </row>
    <row r="255" spans="3:15" x14ac:dyDescent="0.35">
      <c r="C255" s="23" t="s">
        <v>156</v>
      </c>
      <c r="D255" s="86">
        <v>5060558503298</v>
      </c>
      <c r="E255" t="s">
        <v>240</v>
      </c>
      <c r="F255" t="s">
        <v>249</v>
      </c>
      <c r="G255" t="s">
        <v>258</v>
      </c>
      <c r="H255" s="25" t="s">
        <v>220</v>
      </c>
      <c r="I255" t="s">
        <v>601</v>
      </c>
      <c r="J255" t="s">
        <v>290</v>
      </c>
      <c r="K255" t="s">
        <v>636</v>
      </c>
      <c r="L255" s="30">
        <f>IF(ISNA(INDEX('DO NOT OPEN'!D:D,MATCH(C255,'DO NOT OPEN'!A:A,0),0)),"No Stock",INDEX('DO NOT OPEN'!D:D,MATCH(C255,'DO NOT OPEN'!A:A,0),0))</f>
        <v>21</v>
      </c>
      <c r="M255" s="63" t="str">
        <f>HYPERLINK("http://www.sapphireav.com/Sapphire-Aluminum-Slow-Retraction-Manual-Screen-Viewing-Area-2700mm-x-1688mm-with-channel-fix-brackets-Approx-Case-Dimensions-L-2878mm-x-H-96mm-x-D-91mm_p_510.html", "Click for Web Link")</f>
        <v>Click for Web Link</v>
      </c>
      <c r="N255" s="100">
        <v>15.8</v>
      </c>
      <c r="O255" s="69">
        <v>15</v>
      </c>
    </row>
    <row r="256" spans="3:15" x14ac:dyDescent="0.35">
      <c r="C256" s="23" t="s">
        <v>68</v>
      </c>
      <c r="D256" s="86">
        <v>5060558502512</v>
      </c>
      <c r="E256" t="s">
        <v>240</v>
      </c>
      <c r="F256" t="s">
        <v>249</v>
      </c>
      <c r="G256" t="s">
        <v>258</v>
      </c>
      <c r="H256" s="25" t="s">
        <v>219</v>
      </c>
      <c r="I256" t="s">
        <v>601</v>
      </c>
      <c r="J256" t="s">
        <v>290</v>
      </c>
      <c r="K256" t="s">
        <v>636</v>
      </c>
      <c r="L256" s="30">
        <f>IF(ISNA(INDEX('DO NOT OPEN'!D:D,MATCH(C256,'DO NOT OPEN'!A:A,0),0)),"No Stock",INDEX('DO NOT OPEN'!D:D,MATCH(C256,'DO NOT OPEN'!A:A,0),0))</f>
        <v>13</v>
      </c>
      <c r="M256" s="63" t="str">
        <f>HYPERLINK("http://www.sapphireav.com/Sapphire-Aluminum-Slow-Retraction-Manual-Screen-Viewing-Area-2700mm-x-1518mm-with-channel-fix-brackets-Approx-Case-Dimensions-L-2878mm-x-H-96mm-x-D-91mm_p_137.html", "Click for Web Link")</f>
        <v>Click for Web Link</v>
      </c>
      <c r="N256" s="100">
        <v>15.8</v>
      </c>
      <c r="O256" s="69">
        <v>15</v>
      </c>
    </row>
    <row r="257" spans="3:15" x14ac:dyDescent="0.35">
      <c r="C257" s="23" t="s">
        <v>763</v>
      </c>
      <c r="D257" s="86">
        <v>5060558504202</v>
      </c>
      <c r="E257" t="s">
        <v>242</v>
      </c>
      <c r="F257" t="s">
        <v>253</v>
      </c>
      <c r="G257" t="s">
        <v>257</v>
      </c>
      <c r="H257" s="25" t="s">
        <v>220</v>
      </c>
      <c r="I257" t="s">
        <v>601</v>
      </c>
      <c r="J257" t="s">
        <v>282</v>
      </c>
      <c r="K257" t="s">
        <v>296</v>
      </c>
      <c r="L257" s="30">
        <f>IF(ISNA(INDEX('DO NOT OPEN'!D:D,MATCH(C257,'DO NOT OPEN'!A:A,0),0)),"No Stock",INDEX('DO NOT OPEN'!D:D,MATCH(C257,'DO NOT OPEN'!A:A,0),0))</f>
        <v>5</v>
      </c>
      <c r="M257" s="63" t="str">
        <f>HYPERLINK("http://www.sapphireav.com/sapphire-dedicated-electric-recessed-screen-viewing-area-1705mm-x-1065mm-1610-approx-case-dimensions-not-including-surround-l-1867mm-x-h-122mm-x-d-135mm.html", "Click for Web Link")</f>
        <v>Click for Web Link</v>
      </c>
      <c r="N257" s="100">
        <v>11</v>
      </c>
      <c r="O257" s="69">
        <v>15</v>
      </c>
    </row>
    <row r="258" spans="3:15" x14ac:dyDescent="0.35">
      <c r="C258" s="23" t="s">
        <v>767</v>
      </c>
      <c r="D258" s="86">
        <v>5060558504172</v>
      </c>
      <c r="E258" t="s">
        <v>242</v>
      </c>
      <c r="F258" t="s">
        <v>671</v>
      </c>
      <c r="G258" t="s">
        <v>255</v>
      </c>
      <c r="H258" s="25" t="s">
        <v>220</v>
      </c>
      <c r="I258" t="s">
        <v>293</v>
      </c>
      <c r="J258" t="s">
        <v>282</v>
      </c>
      <c r="K258" t="s">
        <v>296</v>
      </c>
      <c r="L258" s="30">
        <f>IF(ISNA(INDEX('DO NOT OPEN'!D:D,MATCH(C258,'DO NOT OPEN'!A:A,0),0)),"No Stock",INDEX('DO NOT OPEN'!D:D,MATCH(C258,'DO NOT OPEN'!A:A,0),0))</f>
        <v>1</v>
      </c>
      <c r="M258" s="68" t="str">
        <f>HYPERLINK("http://www.sapphireav.com/sapphire-rear-tab-tension-electric-infra-red-screen-viewing-area-2346mm-x-1466mm-approx-case-dimensions-l-2834mm-x-h-134mm-x-d-135mm.html", "Click for Web Link")</f>
        <v>Click for Web Link</v>
      </c>
      <c r="N258" s="100">
        <v>23</v>
      </c>
      <c r="O258" s="69">
        <v>30</v>
      </c>
    </row>
    <row r="259" spans="3:15" x14ac:dyDescent="0.35">
      <c r="C259" s="23" t="s">
        <v>768</v>
      </c>
      <c r="D259" s="86">
        <v>5060558504189</v>
      </c>
      <c r="E259" t="s">
        <v>242</v>
      </c>
      <c r="F259" t="s">
        <v>671</v>
      </c>
      <c r="G259" t="s">
        <v>262</v>
      </c>
      <c r="H259" s="25" t="s">
        <v>220</v>
      </c>
      <c r="I259" t="s">
        <v>293</v>
      </c>
      <c r="J259" t="s">
        <v>282</v>
      </c>
      <c r="K259" t="s">
        <v>296</v>
      </c>
      <c r="L259" s="30">
        <f>IF(ISNA(INDEX('DO NOT OPEN'!D:D,MATCH(C259,'DO NOT OPEN'!A:A,0),0)),"No Stock",INDEX('DO NOT OPEN'!D:D,MATCH(C259,'DO NOT OPEN'!A:A,0),0))</f>
        <v>2</v>
      </c>
      <c r="M259" s="68" t="str">
        <f>HYPERLINK("http://www.sapphireav.com/sapphire-rear-tab-tension-electric-infra-red-screen-viewing-area-3010mm-x-1881mm-approx-case-dimensions-l-3538mm-x-h-143mm-x-d-135mm.html", "Click for Web Link")</f>
        <v>Click for Web Link</v>
      </c>
      <c r="N259" s="100">
        <v>35</v>
      </c>
      <c r="O259" s="69">
        <v>30</v>
      </c>
    </row>
    <row r="260" spans="3:15" x14ac:dyDescent="0.35">
      <c r="C260" s="23" t="s">
        <v>769</v>
      </c>
      <c r="D260" s="86">
        <v>5060558504196</v>
      </c>
      <c r="E260" t="s">
        <v>242</v>
      </c>
      <c r="F260" t="s">
        <v>671</v>
      </c>
      <c r="G260" t="s">
        <v>261</v>
      </c>
      <c r="H260" s="25" t="s">
        <v>220</v>
      </c>
      <c r="I260" t="s">
        <v>293</v>
      </c>
      <c r="J260" t="s">
        <v>282</v>
      </c>
      <c r="K260" t="s">
        <v>296</v>
      </c>
      <c r="L260" s="30">
        <f>IF(ISNA(INDEX('DO NOT OPEN'!D:D,MATCH(C260,'DO NOT OPEN'!A:A,0),0)),"No Stock",INDEX('DO NOT OPEN'!D:D,MATCH(C260,'DO NOT OPEN'!A:A,0),0))</f>
        <v>2</v>
      </c>
      <c r="M260" s="68" t="str">
        <f>HYPERLINK("http://www.sapphireav.com/sapphire-rear-tab-tension-electric-infra-red-screen-viewing-area-3498mm-x-2181mm-approx-case-dimensions-l-3988mm-x-h-143mm-x-d-135mm.html", "Click for Web Link")</f>
        <v>Click for Web Link</v>
      </c>
      <c r="N260" s="100">
        <v>40</v>
      </c>
      <c r="O260" s="69">
        <v>30</v>
      </c>
    </row>
  </sheetData>
  <sheetProtection autoFilter="0"/>
  <hyperlinks>
    <hyperlink ref="K7" r:id="rId1" xr:uid="{5519E73F-0030-47C5-B1D4-BD893CE25F18}"/>
  </hyperlinks>
  <pageMargins left="0.70866141732283472" right="0.70866141732283472" top="0.74803149606299213" bottom="0.74803149606299213" header="0.31496062992125984" footer="0.31496062992125984"/>
  <pageSetup paperSize="9" scale="60" orientation="landscape" horizontalDpi="4294967293" verticalDpi="1200" r:id="rId2"/>
  <drawing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8AC3B-9486-433B-9ECA-D896EB28BBA5}">
  <sheetPr codeName="Sheet16">
    <tabColor rgb="FF253CE7"/>
  </sheetPr>
  <dimension ref="B5:JG476"/>
  <sheetViews>
    <sheetView showGridLines="0" showRowColHeaders="0" zoomScaleNormal="100" workbookViewId="0">
      <selection activeCell="C16" sqref="C16"/>
    </sheetView>
  </sheetViews>
  <sheetFormatPr defaultColWidth="17.625" defaultRowHeight="17.25" x14ac:dyDescent="0.35"/>
  <cols>
    <col min="1" max="1" width="17.625" customWidth="1"/>
    <col min="2" max="12" width="23.625" customWidth="1"/>
    <col min="13" max="257" width="17.625" customWidth="1"/>
  </cols>
  <sheetData>
    <row r="5" spans="2:267" ht="21.75" x14ac:dyDescent="0.45">
      <c r="B5" s="57" t="s">
        <v>678</v>
      </c>
    </row>
    <row r="7" spans="2:267" x14ac:dyDescent="0.35">
      <c r="B7" s="54" t="s">
        <v>628</v>
      </c>
      <c r="C7" s="23" t="s">
        <v>767</v>
      </c>
      <c r="D7" s="23" t="s">
        <v>768</v>
      </c>
      <c r="E7" s="23" t="s">
        <v>769</v>
      </c>
      <c r="P7" s="23"/>
      <c r="Q7" s="23"/>
      <c r="R7" s="23"/>
      <c r="S7" s="23"/>
      <c r="T7" s="23"/>
      <c r="U7" s="23"/>
      <c r="V7" s="23"/>
      <c r="W7" s="23"/>
      <c r="X7" s="23"/>
      <c r="Y7" s="23"/>
      <c r="Z7" s="23"/>
      <c r="AA7" s="23"/>
      <c r="AB7" s="23"/>
      <c r="AC7" s="23"/>
      <c r="AD7" s="23"/>
      <c r="AE7" s="23"/>
      <c r="AF7" s="23"/>
      <c r="AG7" s="23"/>
      <c r="AH7" s="23"/>
      <c r="AI7" s="23"/>
      <c r="AJ7" s="23"/>
      <c r="AK7" s="53"/>
      <c r="AL7" s="5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85"/>
      <c r="CQ7" s="23"/>
      <c r="CR7" s="23"/>
      <c r="CS7" s="23"/>
      <c r="CT7" s="23"/>
      <c r="CU7" s="23"/>
      <c r="CV7" s="23"/>
      <c r="CW7" s="23"/>
      <c r="CX7" s="23"/>
      <c r="CY7" s="23"/>
      <c r="CZ7" s="23"/>
      <c r="DA7" s="23"/>
      <c r="DB7" s="23"/>
      <c r="DC7" s="23"/>
      <c r="DD7" s="83"/>
      <c r="DE7" s="23"/>
      <c r="DG7" s="23"/>
      <c r="DH7" s="23"/>
      <c r="DI7" s="23"/>
      <c r="DJ7" s="23"/>
      <c r="DK7" s="23"/>
      <c r="DL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53"/>
      <c r="ES7" s="23"/>
      <c r="ET7" s="23"/>
      <c r="EU7" s="23"/>
      <c r="EV7" s="23"/>
      <c r="EW7" s="23"/>
      <c r="EX7" s="23"/>
      <c r="EY7" s="23"/>
      <c r="FB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J7" s="23"/>
      <c r="GK7" s="23"/>
      <c r="GL7" s="23"/>
      <c r="GN7" s="23"/>
      <c r="GO7" s="23"/>
      <c r="GP7" s="23"/>
      <c r="GQ7" s="23"/>
      <c r="GR7" s="23"/>
      <c r="GS7" s="23"/>
      <c r="GT7" s="23"/>
      <c r="GU7" s="23"/>
      <c r="GV7" s="23"/>
      <c r="GW7" s="23"/>
      <c r="GX7" s="23"/>
      <c r="GY7" s="23"/>
      <c r="GZ7" s="23"/>
      <c r="HA7" s="23"/>
      <c r="HB7" s="23"/>
      <c r="HC7" s="23"/>
      <c r="HD7" s="23"/>
      <c r="HE7" s="23"/>
      <c r="HF7" s="23"/>
      <c r="HG7" s="23"/>
      <c r="HH7" s="23"/>
      <c r="HI7" s="23"/>
      <c r="HL7" s="23"/>
      <c r="HM7" s="23"/>
      <c r="HS7" s="23"/>
      <c r="HT7" s="23"/>
      <c r="HU7" s="23"/>
      <c r="HV7" s="23"/>
      <c r="HW7" s="23"/>
      <c r="HX7" s="23"/>
      <c r="HY7" s="23"/>
      <c r="HZ7" s="23"/>
      <c r="IA7" s="23"/>
      <c r="IB7" s="23"/>
      <c r="IC7" s="23"/>
      <c r="ID7" s="23"/>
      <c r="IE7" s="23" t="s">
        <v>154</v>
      </c>
      <c r="IF7" s="23" t="s">
        <v>61</v>
      </c>
      <c r="IG7" s="23" t="s">
        <v>62</v>
      </c>
      <c r="IH7" s="23" t="s">
        <v>63</v>
      </c>
      <c r="II7" s="23" t="s">
        <v>2</v>
      </c>
      <c r="IJ7" s="23" t="s">
        <v>64</v>
      </c>
      <c r="IK7" s="23" t="s">
        <v>134</v>
      </c>
      <c r="IL7" s="23" t="s">
        <v>155</v>
      </c>
      <c r="IM7" s="23" t="s">
        <v>65</v>
      </c>
      <c r="IN7" s="23" t="s">
        <v>66</v>
      </c>
      <c r="IO7" s="23" t="s">
        <v>1</v>
      </c>
      <c r="IP7" s="23" t="s">
        <v>67</v>
      </c>
      <c r="IQ7" s="23" t="s">
        <v>238</v>
      </c>
      <c r="IR7" s="23" t="s">
        <v>156</v>
      </c>
      <c r="IS7" s="23" t="s">
        <v>68</v>
      </c>
      <c r="IT7" s="23" t="s">
        <v>763</v>
      </c>
      <c r="IU7" s="23" t="s">
        <v>767</v>
      </c>
      <c r="IV7" s="23" t="s">
        <v>768</v>
      </c>
      <c r="IW7" s="23" t="s">
        <v>769</v>
      </c>
    </row>
    <row r="8" spans="2:267" s="25" customFormat="1" x14ac:dyDescent="0.35">
      <c r="B8" s="58" t="s">
        <v>629</v>
      </c>
      <c r="C8" s="86">
        <v>5060558504172</v>
      </c>
      <c r="D8" s="86">
        <v>5060558504189</v>
      </c>
      <c r="E8" s="86">
        <v>5060558504196</v>
      </c>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8"/>
      <c r="CO8" s="88"/>
      <c r="CP8" s="89"/>
      <c r="CQ8" s="86"/>
      <c r="CR8" s="86"/>
      <c r="CS8" s="86"/>
      <c r="CT8" s="86"/>
      <c r="CU8" s="89"/>
      <c r="CV8" s="89"/>
      <c r="CW8" s="90"/>
      <c r="CX8" s="86"/>
      <c r="CY8" s="88"/>
      <c r="CZ8" s="86"/>
      <c r="DA8" s="86"/>
      <c r="DB8" s="86"/>
      <c r="DC8" s="86"/>
      <c r="DD8" s="88"/>
      <c r="DE8" s="86"/>
      <c r="DF8" s="86"/>
      <c r="DG8" s="86"/>
      <c r="DH8" s="86"/>
      <c r="DI8" s="86"/>
      <c r="DJ8" s="86"/>
      <c r="DK8" s="88"/>
      <c r="DL8" s="86"/>
      <c r="DM8" s="86"/>
      <c r="DN8" s="86"/>
      <c r="DO8" s="86"/>
      <c r="DP8" s="86"/>
      <c r="DQ8" s="86"/>
      <c r="DR8" s="91"/>
      <c r="DS8" s="86"/>
      <c r="DT8" s="86"/>
      <c r="DU8" s="86"/>
      <c r="DV8" s="86"/>
      <c r="DW8" s="88"/>
      <c r="DX8" s="86"/>
      <c r="DY8" s="86"/>
      <c r="DZ8" s="89"/>
      <c r="EA8" s="86"/>
      <c r="EB8" s="86"/>
      <c r="EC8" s="86"/>
      <c r="ED8" s="86"/>
      <c r="EE8" s="89"/>
      <c r="EF8" s="86"/>
      <c r="EG8" s="86"/>
      <c r="EH8" s="86"/>
      <c r="EI8" s="88"/>
      <c r="EJ8" s="86"/>
      <c r="EK8" s="86"/>
      <c r="EL8" s="89"/>
      <c r="EM8" s="88"/>
      <c r="EN8" s="86"/>
      <c r="EO8" s="86"/>
      <c r="EP8" s="86"/>
      <c r="EQ8" s="89"/>
      <c r="ER8" s="86"/>
      <c r="ES8" s="88"/>
      <c r="ET8" s="86"/>
      <c r="EU8" s="88"/>
      <c r="EV8" s="86"/>
      <c r="EW8" s="88"/>
      <c r="EX8" s="86"/>
      <c r="EY8" s="88"/>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92"/>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v>5060558503274</v>
      </c>
      <c r="IF8" s="86">
        <v>5060558502444</v>
      </c>
      <c r="IG8" s="86">
        <v>5060558502475</v>
      </c>
      <c r="IH8" s="86">
        <v>5060558502451</v>
      </c>
      <c r="II8" s="86">
        <v>5060558502468</v>
      </c>
      <c r="IJ8" s="86">
        <v>5060558501010</v>
      </c>
      <c r="IK8" s="86">
        <v>5060558503243</v>
      </c>
      <c r="IL8" s="86">
        <v>5060558503281</v>
      </c>
      <c r="IM8" s="86">
        <v>5060558502482</v>
      </c>
      <c r="IN8" s="86">
        <v>5060558502505</v>
      </c>
      <c r="IO8" s="86">
        <v>5060558502499</v>
      </c>
      <c r="IP8" s="86">
        <v>5060558502529</v>
      </c>
      <c r="IQ8" s="86">
        <v>5060558503250</v>
      </c>
      <c r="IR8" s="86">
        <v>5060558503298</v>
      </c>
      <c r="IS8" s="86">
        <v>5060558502512</v>
      </c>
      <c r="IT8" s="86">
        <v>5060558504202</v>
      </c>
      <c r="IU8" s="86">
        <v>5060558504172</v>
      </c>
      <c r="IV8" s="86">
        <v>5060558504189</v>
      </c>
      <c r="IW8" s="86">
        <v>5060558504196</v>
      </c>
      <c r="IX8" s="86"/>
      <c r="IY8" s="86"/>
      <c r="IZ8" s="86"/>
      <c r="JA8" s="86"/>
      <c r="JB8" s="86"/>
      <c r="JC8" s="86"/>
      <c r="JD8" s="86"/>
      <c r="JE8" s="86"/>
      <c r="JF8" s="86"/>
      <c r="JG8" s="86"/>
    </row>
    <row r="9" spans="2:267" x14ac:dyDescent="0.35">
      <c r="B9" s="54" t="s">
        <v>630</v>
      </c>
      <c r="C9" t="s">
        <v>242</v>
      </c>
      <c r="D9" t="s">
        <v>242</v>
      </c>
      <c r="E9" t="s">
        <v>242</v>
      </c>
      <c r="U9" s="2"/>
      <c r="CP9" s="2"/>
      <c r="CS9" s="2"/>
      <c r="CU9" s="2"/>
      <c r="CV9" s="2"/>
      <c r="DG9" s="2"/>
      <c r="DO9" s="2"/>
      <c r="DT9" s="2"/>
      <c r="DZ9" s="2"/>
      <c r="EC9" s="2"/>
      <c r="EE9" s="2"/>
      <c r="EF9" s="2"/>
      <c r="EK9" s="2"/>
      <c r="EL9" s="2"/>
      <c r="EO9" s="2"/>
      <c r="EQ9" s="2"/>
      <c r="ER9" s="2"/>
      <c r="HR9" s="2"/>
      <c r="IE9" t="s">
        <v>240</v>
      </c>
      <c r="IF9" t="s">
        <v>240</v>
      </c>
      <c r="IG9" t="s">
        <v>240</v>
      </c>
      <c r="IH9" t="s">
        <v>240</v>
      </c>
      <c r="II9" t="s">
        <v>240</v>
      </c>
      <c r="IJ9" t="s">
        <v>240</v>
      </c>
      <c r="IK9" t="s">
        <v>240</v>
      </c>
      <c r="IL9" t="s">
        <v>240</v>
      </c>
      <c r="IM9" t="s">
        <v>240</v>
      </c>
      <c r="IN9" t="s">
        <v>240</v>
      </c>
      <c r="IO9" t="s">
        <v>240</v>
      </c>
      <c r="IP9" t="s">
        <v>240</v>
      </c>
      <c r="IQ9" t="s">
        <v>240</v>
      </c>
      <c r="IR9" t="s">
        <v>240</v>
      </c>
      <c r="IS9" t="s">
        <v>240</v>
      </c>
      <c r="IT9" t="s">
        <v>242</v>
      </c>
      <c r="IU9" t="s">
        <v>242</v>
      </c>
      <c r="IV9" t="s">
        <v>242</v>
      </c>
      <c r="IW9" t="s">
        <v>242</v>
      </c>
    </row>
    <row r="10" spans="2:267" x14ac:dyDescent="0.35">
      <c r="B10" s="54" t="s">
        <v>627</v>
      </c>
      <c r="C10" t="s">
        <v>671</v>
      </c>
      <c r="D10" t="s">
        <v>671</v>
      </c>
      <c r="E10" t="s">
        <v>671</v>
      </c>
      <c r="IE10" t="s">
        <v>249</v>
      </c>
      <c r="IF10" t="s">
        <v>249</v>
      </c>
      <c r="IG10" t="s">
        <v>249</v>
      </c>
      <c r="IH10" t="s">
        <v>249</v>
      </c>
      <c r="II10" t="s">
        <v>250</v>
      </c>
      <c r="IJ10" t="s">
        <v>250</v>
      </c>
      <c r="IK10" t="s">
        <v>250</v>
      </c>
      <c r="IL10" t="s">
        <v>249</v>
      </c>
      <c r="IM10" t="s">
        <v>249</v>
      </c>
      <c r="IN10" t="s">
        <v>249</v>
      </c>
      <c r="IO10" t="s">
        <v>250</v>
      </c>
      <c r="IP10" t="s">
        <v>250</v>
      </c>
      <c r="IQ10" t="s">
        <v>250</v>
      </c>
      <c r="IR10" t="s">
        <v>249</v>
      </c>
      <c r="IS10" t="s">
        <v>249</v>
      </c>
      <c r="IT10" t="s">
        <v>253</v>
      </c>
      <c r="IU10" t="s">
        <v>671</v>
      </c>
      <c r="IV10" t="s">
        <v>671</v>
      </c>
      <c r="IW10" t="s">
        <v>671</v>
      </c>
    </row>
    <row r="11" spans="2:267" x14ac:dyDescent="0.35">
      <c r="B11" s="54" t="s">
        <v>631</v>
      </c>
      <c r="C11" t="s">
        <v>255</v>
      </c>
      <c r="D11" t="s">
        <v>262</v>
      </c>
      <c r="E11" t="s">
        <v>261</v>
      </c>
      <c r="GS11" s="11"/>
      <c r="GT11" s="11"/>
      <c r="IE11" t="s">
        <v>256</v>
      </c>
      <c r="IF11" t="s">
        <v>256</v>
      </c>
      <c r="IG11" t="s">
        <v>255</v>
      </c>
      <c r="IH11" t="s">
        <v>255</v>
      </c>
      <c r="II11" t="s">
        <v>255</v>
      </c>
      <c r="IJ11" t="s">
        <v>255</v>
      </c>
      <c r="IK11" t="s">
        <v>255</v>
      </c>
      <c r="IL11" t="s">
        <v>255</v>
      </c>
      <c r="IM11" t="s">
        <v>255</v>
      </c>
      <c r="IN11" t="s">
        <v>286</v>
      </c>
      <c r="IO11" t="s">
        <v>286</v>
      </c>
      <c r="IP11" t="s">
        <v>286</v>
      </c>
      <c r="IQ11" t="s">
        <v>258</v>
      </c>
      <c r="IR11" t="s">
        <v>258</v>
      </c>
      <c r="IS11" t="s">
        <v>258</v>
      </c>
      <c r="IT11" t="s">
        <v>257</v>
      </c>
      <c r="IU11" t="s">
        <v>255</v>
      </c>
      <c r="IV11" t="s">
        <v>262</v>
      </c>
      <c r="IW11" t="s">
        <v>261</v>
      </c>
    </row>
    <row r="12" spans="2:267" x14ac:dyDescent="0.35">
      <c r="B12" s="54" t="s">
        <v>613</v>
      </c>
      <c r="C12" s="25" t="s">
        <v>220</v>
      </c>
      <c r="D12" s="25" t="s">
        <v>220</v>
      </c>
      <c r="E12" s="25" t="s">
        <v>220</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52"/>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t="s">
        <v>220</v>
      </c>
      <c r="IF12" s="25" t="s">
        <v>219</v>
      </c>
      <c r="IG12" s="25" t="s">
        <v>218</v>
      </c>
      <c r="IH12" s="25" t="s">
        <v>239</v>
      </c>
      <c r="II12" s="25" t="s">
        <v>218</v>
      </c>
      <c r="IJ12" s="25" t="s">
        <v>219</v>
      </c>
      <c r="IK12" s="25" t="s">
        <v>220</v>
      </c>
      <c r="IL12" s="25" t="s">
        <v>220</v>
      </c>
      <c r="IM12" s="25" t="s">
        <v>219</v>
      </c>
      <c r="IN12" s="25" t="s">
        <v>218</v>
      </c>
      <c r="IO12" s="25" t="s">
        <v>218</v>
      </c>
      <c r="IP12" s="25" t="s">
        <v>219</v>
      </c>
      <c r="IQ12" s="25" t="s">
        <v>220</v>
      </c>
      <c r="IR12" s="25" t="s">
        <v>220</v>
      </c>
      <c r="IS12" s="25" t="s">
        <v>219</v>
      </c>
      <c r="IT12" s="25" t="s">
        <v>220</v>
      </c>
      <c r="IU12" s="25" t="s">
        <v>220</v>
      </c>
      <c r="IV12" s="25" t="s">
        <v>220</v>
      </c>
      <c r="IW12" s="25" t="s">
        <v>220</v>
      </c>
      <c r="IX12" s="25"/>
      <c r="IY12" s="25"/>
      <c r="IZ12" s="25"/>
      <c r="JA12" s="25"/>
      <c r="JB12" s="25"/>
      <c r="JC12" s="25"/>
      <c r="JD12" s="25"/>
      <c r="JE12" s="25"/>
      <c r="JF12" s="25"/>
      <c r="JG12" s="25"/>
    </row>
    <row r="13" spans="2:267" x14ac:dyDescent="0.35">
      <c r="B13" s="54" t="s">
        <v>614</v>
      </c>
      <c r="C13" t="s">
        <v>293</v>
      </c>
      <c r="D13" t="s">
        <v>293</v>
      </c>
      <c r="E13" t="s">
        <v>293</v>
      </c>
      <c r="IE13" t="s">
        <v>601</v>
      </c>
      <c r="IF13" t="s">
        <v>601</v>
      </c>
      <c r="IG13" t="s">
        <v>601</v>
      </c>
      <c r="IH13" t="s">
        <v>601</v>
      </c>
      <c r="II13" t="s">
        <v>601</v>
      </c>
      <c r="IJ13" t="s">
        <v>601</v>
      </c>
      <c r="IK13" t="s">
        <v>601</v>
      </c>
      <c r="IL13" t="s">
        <v>601</v>
      </c>
      <c r="IM13" t="s">
        <v>601</v>
      </c>
      <c r="IN13" t="s">
        <v>601</v>
      </c>
      <c r="IO13" t="s">
        <v>601</v>
      </c>
      <c r="IP13" t="s">
        <v>601</v>
      </c>
      <c r="IQ13" t="s">
        <v>601</v>
      </c>
      <c r="IR13" t="s">
        <v>601</v>
      </c>
      <c r="IS13" t="s">
        <v>601</v>
      </c>
      <c r="IT13" t="s">
        <v>601</v>
      </c>
      <c r="IU13" t="s">
        <v>293</v>
      </c>
      <c r="IV13" t="s">
        <v>293</v>
      </c>
      <c r="IW13" t="s">
        <v>293</v>
      </c>
    </row>
    <row r="14" spans="2:267" x14ac:dyDescent="0.35">
      <c r="B14" s="54" t="s">
        <v>632</v>
      </c>
      <c r="C14" t="s">
        <v>282</v>
      </c>
      <c r="D14" t="s">
        <v>282</v>
      </c>
      <c r="E14" t="s">
        <v>282</v>
      </c>
      <c r="IE14" t="s">
        <v>290</v>
      </c>
      <c r="IF14" t="s">
        <v>290</v>
      </c>
      <c r="IG14" t="s">
        <v>290</v>
      </c>
      <c r="IH14" t="s">
        <v>290</v>
      </c>
      <c r="IL14" t="s">
        <v>290</v>
      </c>
      <c r="IM14" t="s">
        <v>290</v>
      </c>
      <c r="IN14" t="s">
        <v>290</v>
      </c>
      <c r="IR14" t="s">
        <v>290</v>
      </c>
      <c r="IS14" t="s">
        <v>290</v>
      </c>
      <c r="IT14" t="s">
        <v>282</v>
      </c>
      <c r="IU14" t="s">
        <v>282</v>
      </c>
      <c r="IV14" t="s">
        <v>282</v>
      </c>
      <c r="IW14" t="s">
        <v>282</v>
      </c>
    </row>
    <row r="15" spans="2:267" x14ac:dyDescent="0.35">
      <c r="B15" s="54" t="s">
        <v>633</v>
      </c>
      <c r="C15" t="s">
        <v>296</v>
      </c>
      <c r="D15" t="s">
        <v>296</v>
      </c>
      <c r="E15" t="s">
        <v>296</v>
      </c>
      <c r="AI15" s="11"/>
      <c r="AJ15" s="11"/>
      <c r="AK15" s="11"/>
      <c r="AL15" s="11"/>
      <c r="DK15" s="6"/>
      <c r="IN15" t="s">
        <v>636</v>
      </c>
      <c r="IO15" t="s">
        <v>636</v>
      </c>
      <c r="IP15" t="s">
        <v>636</v>
      </c>
      <c r="IQ15" t="s">
        <v>636</v>
      </c>
      <c r="IR15" t="s">
        <v>636</v>
      </c>
      <c r="IS15" t="s">
        <v>636</v>
      </c>
      <c r="IT15" t="s">
        <v>296</v>
      </c>
      <c r="IU15" t="s">
        <v>296</v>
      </c>
      <c r="IV15" t="s">
        <v>296</v>
      </c>
      <c r="IW15" t="s">
        <v>296</v>
      </c>
    </row>
    <row r="16" spans="2:267" x14ac:dyDescent="0.35">
      <c r="B16" s="84" t="s">
        <v>669</v>
      </c>
      <c r="C16" s="30" t="e">
        <f>IF(ISNA(INDEX('DO NOT OPEN'!#REF!,MATCH(C7,'DO NOT OPEN'!#REF!,0),0)),"No Stock",INDEX('DO NOT OPEN'!#REF!,MATCH(C7,'DO NOT OPEN'!#REF!,0),0))</f>
        <v>#REF!</v>
      </c>
      <c r="D16" s="30" t="e">
        <f>IF(ISNA(INDEX('DO NOT OPEN'!#REF!,MATCH(D7,'DO NOT OPEN'!#REF!,0),0)),"No Stock",INDEX('DO NOT OPEN'!#REF!,MATCH(D7,'DO NOT OPEN'!#REF!,0),0))</f>
        <v>#REF!</v>
      </c>
      <c r="E16" s="30" t="e">
        <f>IF(ISNA(INDEX('DO NOT OPEN'!#REF!,MATCH(E7,'DO NOT OPEN'!#REF!,0),0)),"No Stock",INDEX('DO NOT OPEN'!#REF!,MATCH(E7,'DO NOT OPEN'!#REF!,0),0))</f>
        <v>#REF!</v>
      </c>
      <c r="F16" s="24"/>
      <c r="G16" s="24"/>
      <c r="H16" s="24"/>
      <c r="I16" s="24"/>
      <c r="J16" s="24"/>
      <c r="K16" s="24"/>
      <c r="L16" s="24"/>
      <c r="M16" s="24"/>
      <c r="N16" s="24"/>
      <c r="O16" s="24"/>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t="e">
        <f>IF(ISNA(INDEX('DO NOT OPEN'!#REF!,MATCH(IE7,'DO NOT OPEN'!#REF!,0),0)),"No Stock",INDEX('DO NOT OPEN'!#REF!,MATCH(IE7,'DO NOT OPEN'!#REF!,0),0))</f>
        <v>#REF!</v>
      </c>
      <c r="IF16" s="30" t="e">
        <f>IF(ISNA(INDEX('DO NOT OPEN'!#REF!,MATCH(IF7,'DO NOT OPEN'!#REF!,0),0)),"No Stock",INDEX('DO NOT OPEN'!#REF!,MATCH(IF7,'DO NOT OPEN'!#REF!,0),0))</f>
        <v>#REF!</v>
      </c>
      <c r="IG16" s="30" t="e">
        <f>IF(ISNA(INDEX('DO NOT OPEN'!#REF!,MATCH(IG7,'DO NOT OPEN'!#REF!,0),0)),"No Stock",INDEX('DO NOT OPEN'!#REF!,MATCH(IG7,'DO NOT OPEN'!#REF!,0),0))</f>
        <v>#REF!</v>
      </c>
      <c r="IH16" s="30" t="e">
        <f>IF(ISNA(INDEX('DO NOT OPEN'!#REF!,MATCH(IH7,'DO NOT OPEN'!#REF!,0),0)),"No Stock",INDEX('DO NOT OPEN'!#REF!,MATCH(IH7,'DO NOT OPEN'!#REF!,0),0))</f>
        <v>#REF!</v>
      </c>
      <c r="II16" s="30" t="e">
        <f>IF(ISNA(INDEX('DO NOT OPEN'!#REF!,MATCH(II7,'DO NOT OPEN'!#REF!,0),0)),"No Stock",INDEX('DO NOT OPEN'!#REF!,MATCH(II7,'DO NOT OPEN'!#REF!,0),0))</f>
        <v>#REF!</v>
      </c>
      <c r="IJ16" s="30" t="e">
        <f>IF(ISNA(INDEX('DO NOT OPEN'!#REF!,MATCH(IJ7,'DO NOT OPEN'!#REF!,0),0)),"No Stock",INDEX('DO NOT OPEN'!#REF!,MATCH(IJ7,'DO NOT OPEN'!#REF!,0),0))</f>
        <v>#REF!</v>
      </c>
      <c r="IK16" s="30" t="e">
        <f>IF(ISNA(INDEX('DO NOT OPEN'!#REF!,MATCH(IK7,'DO NOT OPEN'!#REF!,0),0)),"No Stock",INDEX('DO NOT OPEN'!#REF!,MATCH(IK7,'DO NOT OPEN'!#REF!,0),0))</f>
        <v>#REF!</v>
      </c>
      <c r="IL16" s="30" t="e">
        <f>IF(ISNA(INDEX('DO NOT OPEN'!#REF!,MATCH(IL7,'DO NOT OPEN'!#REF!,0),0)),"No Stock",INDEX('DO NOT OPEN'!#REF!,MATCH(IL7,'DO NOT OPEN'!#REF!,0),0))</f>
        <v>#REF!</v>
      </c>
      <c r="IM16" s="30" t="e">
        <f>IF(ISNA(INDEX('DO NOT OPEN'!#REF!,MATCH(IM7,'DO NOT OPEN'!#REF!,0),0)),"No Stock",INDEX('DO NOT OPEN'!#REF!,MATCH(IM7,'DO NOT OPEN'!#REF!,0),0))</f>
        <v>#REF!</v>
      </c>
      <c r="IN16" s="30" t="e">
        <f>IF(ISNA(INDEX('DO NOT OPEN'!#REF!,MATCH(IN7,'DO NOT OPEN'!#REF!,0),0)),"No Stock",INDEX('DO NOT OPEN'!#REF!,MATCH(IN7,'DO NOT OPEN'!#REF!,0),0))</f>
        <v>#REF!</v>
      </c>
      <c r="IO16" s="30" t="e">
        <f>IF(ISNA(INDEX('DO NOT OPEN'!#REF!,MATCH(IO7,'DO NOT OPEN'!#REF!,0),0)),"No Stock",INDEX('DO NOT OPEN'!#REF!,MATCH(IO7,'DO NOT OPEN'!#REF!,0),0))</f>
        <v>#REF!</v>
      </c>
      <c r="IP16" s="30" t="e">
        <f>IF(ISNA(INDEX('DO NOT OPEN'!#REF!,MATCH(IP7,'DO NOT OPEN'!#REF!,0),0)),"No Stock",INDEX('DO NOT OPEN'!#REF!,MATCH(IP7,'DO NOT OPEN'!#REF!,0),0))</f>
        <v>#REF!</v>
      </c>
      <c r="IQ16" s="30" t="e">
        <f>IF(ISNA(INDEX('DO NOT OPEN'!#REF!,MATCH(IQ7,'DO NOT OPEN'!#REF!,0),0)),"No Stock",INDEX('DO NOT OPEN'!#REF!,MATCH(IQ7,'DO NOT OPEN'!#REF!,0),0))</f>
        <v>#REF!</v>
      </c>
      <c r="IR16" s="30" t="e">
        <f>IF(ISNA(INDEX('DO NOT OPEN'!#REF!,MATCH(IR7,'DO NOT OPEN'!#REF!,0),0)),"No Stock",INDEX('DO NOT OPEN'!#REF!,MATCH(IR7,'DO NOT OPEN'!#REF!,0),0))</f>
        <v>#REF!</v>
      </c>
      <c r="IS16" s="30" t="e">
        <f>IF(ISNA(INDEX('DO NOT OPEN'!#REF!,MATCH(IS7,'DO NOT OPEN'!#REF!,0),0)),"No Stock",INDEX('DO NOT OPEN'!#REF!,MATCH(IS7,'DO NOT OPEN'!#REF!,0),0))</f>
        <v>#REF!</v>
      </c>
      <c r="IT16" s="30" t="e">
        <f>IF(ISNA(INDEX('DO NOT OPEN'!#REF!,MATCH(IT7,'DO NOT OPEN'!#REF!,0),0)),"No Stock",INDEX('DO NOT OPEN'!#REF!,MATCH(IT7,'DO NOT OPEN'!#REF!,0),0))</f>
        <v>#REF!</v>
      </c>
      <c r="IU16" s="30" t="e">
        <f>IF(ISNA(INDEX('DO NOT OPEN'!#REF!,MATCH(IU7,'DO NOT OPEN'!#REF!,0),0)),"No Stock",INDEX('DO NOT OPEN'!#REF!,MATCH(IU7,'DO NOT OPEN'!#REF!,0),0))</f>
        <v>#REF!</v>
      </c>
      <c r="IV16" s="30" t="e">
        <f>IF(ISNA(INDEX('DO NOT OPEN'!#REF!,MATCH(IV7,'DO NOT OPEN'!#REF!,0),0)),"No Stock",INDEX('DO NOT OPEN'!#REF!,MATCH(IV7,'DO NOT OPEN'!#REF!,0),0))</f>
        <v>#REF!</v>
      </c>
      <c r="IW16" s="30" t="e">
        <f>IF(ISNA(INDEX('DO NOT OPEN'!#REF!,MATCH(IW7,'DO NOT OPEN'!#REF!,0),0)),"No Stock",INDEX('DO NOT OPEN'!#REF!,MATCH(IW7,'DO NOT OPEN'!#REF!,0),0))</f>
        <v>#REF!</v>
      </c>
      <c r="IX16" s="24"/>
      <c r="IY16" s="24"/>
      <c r="IZ16" s="24"/>
      <c r="JA16" s="24"/>
      <c r="JB16" s="24"/>
      <c r="JC16" s="24"/>
      <c r="JD16" s="24"/>
      <c r="JE16" s="24"/>
      <c r="JF16" s="24"/>
      <c r="JG16" s="24"/>
    </row>
    <row r="17" spans="2:267" x14ac:dyDescent="0.35">
      <c r="B17" s="54" t="s">
        <v>626</v>
      </c>
      <c r="C17" s="68" t="str">
        <f>HYPERLINK("http://www.sapphireav.com/sapphire-rear-tab-tension-electric-infra-red-screen-viewing-area-2346mm-x-1466mm-approx-case-dimensions-l-2834mm-x-h-134mm-x-d-135mm.html", "Click for Web Link")</f>
        <v>Click for Web Link</v>
      </c>
      <c r="D17" s="68" t="str">
        <f>HYPERLINK("http://www.sapphireav.com/sapphire-rear-tab-tension-electric-infra-red-screen-viewing-area-3010mm-x-1881mm-approx-case-dimensions-l-3538mm-x-h-143mm-x-d-135mm.html", "Click for Web Link")</f>
        <v>Click for Web Link</v>
      </c>
      <c r="E17" s="68" t="str">
        <f>HYPERLINK("http://www.sapphireav.com/sapphire-rear-tab-tension-electric-infra-red-screen-viewing-area-3498mm-x-2181mm-approx-case-dimensions-l-3988mm-x-h-143mm-x-d-135mm.html", "Click for Web Link")</f>
        <v>Click for Web Link</v>
      </c>
      <c r="F17" s="64"/>
      <c r="G17" s="64"/>
      <c r="H17" s="64"/>
      <c r="I17" s="64"/>
      <c r="J17" s="64"/>
      <c r="K17" s="64"/>
      <c r="L17" s="64"/>
      <c r="M17" s="64"/>
      <c r="N17" s="64"/>
      <c r="O17" s="64"/>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7"/>
      <c r="CM17" s="63"/>
      <c r="CN17" s="63"/>
      <c r="CO17" s="64"/>
      <c r="CP17" s="64"/>
      <c r="CQ17" s="67"/>
      <c r="CR17" s="63"/>
      <c r="CS17" s="64"/>
      <c r="CT17" s="63"/>
      <c r="CU17" s="64"/>
      <c r="CV17" s="64"/>
      <c r="CW17" s="68"/>
      <c r="CX17" s="63"/>
      <c r="CY17" s="68"/>
      <c r="CZ17" s="63"/>
      <c r="DA17" s="63"/>
      <c r="DB17" s="63"/>
      <c r="DC17" s="63"/>
      <c r="DD17" s="68"/>
      <c r="DE17" s="63"/>
      <c r="DF17" s="63"/>
      <c r="DG17" s="64"/>
      <c r="DH17" s="63"/>
      <c r="DI17" s="63"/>
      <c r="DJ17" s="63"/>
      <c r="DK17" s="68"/>
      <c r="DL17" s="63"/>
      <c r="DM17" s="63"/>
      <c r="DN17" s="63"/>
      <c r="DO17" s="64"/>
      <c r="DP17" s="63"/>
      <c r="DQ17" s="63"/>
      <c r="DR17" s="68"/>
      <c r="DS17" s="63"/>
      <c r="DT17" s="64"/>
      <c r="DU17" s="63"/>
      <c r="DV17" s="63"/>
      <c r="DW17" s="68"/>
      <c r="DX17" s="63"/>
      <c r="DY17" s="63"/>
      <c r="DZ17" s="64"/>
      <c r="EA17" s="63"/>
      <c r="EB17" s="63"/>
      <c r="EC17" s="64"/>
      <c r="ED17" s="63"/>
      <c r="EE17" s="64"/>
      <c r="EF17" s="64"/>
      <c r="EG17" s="63"/>
      <c r="EH17" s="63"/>
      <c r="EI17" s="68"/>
      <c r="EJ17" s="63"/>
      <c r="EK17" s="64"/>
      <c r="EL17" s="64"/>
      <c r="EM17" s="68"/>
      <c r="EN17" s="63"/>
      <c r="EO17" s="64"/>
      <c r="EP17" s="63"/>
      <c r="EQ17" s="64"/>
      <c r="ER17" s="68"/>
      <c r="ES17" s="68"/>
      <c r="ET17" s="63"/>
      <c r="EU17" s="68"/>
      <c r="EV17" s="63"/>
      <c r="EW17" s="68"/>
      <c r="EX17" s="63"/>
      <c r="EY17" s="68"/>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7"/>
      <c r="HS17" s="63"/>
      <c r="HT17" s="63"/>
      <c r="HU17" s="63"/>
      <c r="HV17" s="63"/>
      <c r="HW17" s="63"/>
      <c r="HX17" s="63"/>
      <c r="HY17" s="63"/>
      <c r="HZ17" s="63"/>
      <c r="IA17" s="63"/>
      <c r="IB17" s="63"/>
      <c r="IC17" s="63"/>
      <c r="ID17" s="63"/>
      <c r="IE17" s="63" t="str">
        <f>HYPERLINK("http://www.sapphireav.com/Sapphire-Aluminum-Slow-Retraction-Manual-Screen-Viewing-Area-2030mm-x-1269mm-with-channel-fix-brackets-Approx-Case-Dimensions-L-2204mm-x-H-93mm-x-D-79mm_p_508.html", "Click for Web Link")</f>
        <v>Click for Web Link</v>
      </c>
      <c r="IF17" s="63" t="str">
        <f>HYPERLINK("http://www.sapphireav.com/Sapphire-Aluminum-Slow-Retraction-Manual-Screen-Viewing-Area-2030mm-x-1145mm-with-channel-fix-brackets-Approx-Case-Dimensions-L-2204mm-x-H-93mm-x-D-79mm_p_126.html", "Click for Web Link")</f>
        <v>Click for Web Link</v>
      </c>
      <c r="IG17" s="63" t="str">
        <f>HYPERLINK("http://www.sapphireav.com/Sapphire-Aluminum-Slow-Retraction-Manual-Screen-Viewing-Area-2340mm-x-1755mm-Approx-Case-Dimensions-L-2508mm-x-H-93mm-x-D-79mm_p_127.html", "Click for Web Link")</f>
        <v>Click for Web Link</v>
      </c>
      <c r="IH17" s="63" t="str">
        <f>HYPERLINK("http://www.sapphireav.com/Sapphire-Manual-Screen-Viewing-Area-2340mm-x-2340mm-slow-retraction-channel-fix-Approx-Case-Dimensions-L-2509mm-x-H-96mm-x-D-91mm_p_128.html", "Click for Web Link")</f>
        <v>Click for Web Link</v>
      </c>
      <c r="II17" s="63" t="str">
        <f>HYPERLINK("http://www.sapphireav.com/Sapphire-Manual-Screen-Viewing-Area-2340mm-x-1755mm-not-channel-fix-Approx-Case-Dimensions-L-2562mm-x-H-89mm-x-D-87mm_p_14.html", "Click for Web Link")</f>
        <v>Click for Web Link</v>
      </c>
      <c r="IJ17" s="63" t="str">
        <f>HYPERLINK("http://www.sapphireav.com/Sapphire-Manual-Screen-Viewing-Area-2340mm-x-1320mm-not-channel-fix-Approx-Case-Dimensions-L-2554mm-x-H-89mm-x-D-87mm_p_130.html", "Click for Web Link")</f>
        <v>Click for Web Link</v>
      </c>
      <c r="IK17" s="63" t="str">
        <f>HYPERLINK("http://www.sapphireav.com/Sapphire-Manual-Screen-Viewing-Area-2340mm-x-1463mm-not-channel-fix-Approx-Case-Dimensions-L-2554mm-x-H-89mm-x-D-87mm_p_460.html", "Click for Web Link")</f>
        <v>Click for Web Link</v>
      </c>
      <c r="IL17" s="63" t="str">
        <f>HYPERLINK("http://www.sapphireav.com/Sapphire-Aluminum-Slow-Retraction-Manual-Screen-Viewing-Area-2340mm-x-1463mm-with-channel-fix-brackets-Approx-Case-Dimensions-L-2508mm-x-H-93mm-x-D-79mm_p_509.html", "Click for Web Link")</f>
        <v>Click for Web Link</v>
      </c>
      <c r="IM17" s="63" t="str">
        <f>HYPERLINK("http://www.sapphireav.com/Sapphire-Aluminum-Slow-Retraction-Manual-Screen-Viewing-Area-2340mm-x-1320mm-with-channel-fix-brackets-Approx-Case-Dimensions-L-2508mm-x-H-93mm-x-D-79mm_p_132.html", "Click for Web Link")</f>
        <v>Click for Web Link</v>
      </c>
      <c r="IN17" s="63" t="str">
        <f>HYPERLINK("http://www.sapphireav.com/Sapphire-Aluminum-Slow-Retraction-Manual-Screen-Viewing-Area-2700mm-x-2027mm-with-channel-fix-brackets-Approx-Case-Dimensions-L-2878mm-x-H-96mm-x-D-91mm_p_134.html", "Click for Web Link")</f>
        <v>Click for Web Link</v>
      </c>
      <c r="IO17" s="63" t="str">
        <f>HYPERLINK("http://www.sapphireav.com/Sapphire-Manual-Screen-Viewing-Area-2700mm-x-2027mm-not-channel-fix-Approx-Case-Dimensions-L-2964mm-x-H-117mm-x-D-117mm_p_12.html", "Click for Web Link")</f>
        <v>Click for Web Link</v>
      </c>
      <c r="IP17" s="63" t="str">
        <f>HYPERLINK("http://www.sapphireav.com/Sapphire-Manual-Screen-Viewing-Area-2700mm-x-1518mm-not-channel-fix-Approx-Case-Dimensions-L-2700mm-x-H-117mm-x-D-117mm_p_136.html", "Click for Web Link")</f>
        <v>Click for Web Link</v>
      </c>
      <c r="IQ17" s="63" t="str">
        <f>HYPERLINK("http://www.sapphireav.com/Sapphire-Manual-Screen-Viewing-Area-2700mm-x-1688mm-not-channel-fix-Approx-Case-Dimensions-L-2700mm-x-H-117mm-x-D-117mm_p_505.html", "Click for Web Link")</f>
        <v>Click for Web Link</v>
      </c>
      <c r="IR17" s="63" t="str">
        <f>HYPERLINK("http://www.sapphireav.com/Sapphire-Aluminum-Slow-Retraction-Manual-Screen-Viewing-Area-2700mm-x-1688mm-with-channel-fix-brackets-Approx-Case-Dimensions-L-2878mm-x-H-96mm-x-D-91mm_p_510.html", "Click for Web Link")</f>
        <v>Click for Web Link</v>
      </c>
      <c r="IS17" s="63" t="str">
        <f>HYPERLINK("http://www.sapphireav.com/Sapphire-Aluminum-Slow-Retraction-Manual-Screen-Viewing-Area-2700mm-x-1518mm-with-channel-fix-brackets-Approx-Case-Dimensions-L-2878mm-x-H-96mm-x-D-91mm_p_137.html", "Click for Web Link")</f>
        <v>Click for Web Link</v>
      </c>
      <c r="IT17" s="63" t="str">
        <f>HYPERLINK("http://www.sapphireav.com/sapphire-dedicated-electric-recessed-screen-viewing-area-1705mm-x-1065mm-1610-approx-case-dimensions-not-including-surround-l-1867mm-x-h-122mm-x-d-135mm.html", "Click for Web Link")</f>
        <v>Click for Web Link</v>
      </c>
      <c r="IU17" s="68" t="str">
        <f>HYPERLINK("http://www.sapphireav.com/sapphire-rear-tab-tension-electric-infra-red-screen-viewing-area-2346mm-x-1466mm-approx-case-dimensions-l-2834mm-x-h-134mm-x-d-135mm.html", "Click for Web Link")</f>
        <v>Click for Web Link</v>
      </c>
      <c r="IV17" s="68" t="str">
        <f>HYPERLINK("http://www.sapphireav.com/sapphire-rear-tab-tension-electric-infra-red-screen-viewing-area-3010mm-x-1881mm-approx-case-dimensions-l-3538mm-x-h-143mm-x-d-135mm.html", "Click for Web Link")</f>
        <v>Click for Web Link</v>
      </c>
      <c r="IW17" s="68" t="str">
        <f>HYPERLINK("http://www.sapphireav.com/sapphire-rear-tab-tension-electric-infra-red-screen-viewing-area-3498mm-x-2181mm-approx-case-dimensions-l-3988mm-x-h-143mm-x-d-135mm.html", "Click for Web Link")</f>
        <v>Click for Web Link</v>
      </c>
      <c r="IX17" s="64"/>
      <c r="IY17" s="64"/>
      <c r="IZ17" s="64"/>
      <c r="JA17" s="64"/>
      <c r="JB17" s="64"/>
      <c r="JC17" s="64"/>
      <c r="JD17" s="64"/>
      <c r="JE17" s="64"/>
      <c r="JF17" s="64"/>
      <c r="JG17" s="64"/>
    </row>
    <row r="18" spans="2:267" x14ac:dyDescent="0.35">
      <c r="B18" s="54" t="s">
        <v>667</v>
      </c>
      <c r="C18" s="100">
        <v>23</v>
      </c>
      <c r="D18" s="100">
        <v>35</v>
      </c>
      <c r="E18" s="100">
        <v>40</v>
      </c>
      <c r="F18" s="64"/>
      <c r="G18" s="64"/>
      <c r="H18" s="64"/>
      <c r="I18" s="64"/>
      <c r="J18" s="64"/>
      <c r="K18" s="64"/>
      <c r="L18" s="64"/>
      <c r="M18" s="64"/>
      <c r="N18" s="64"/>
      <c r="O18" s="64"/>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v>10.199999999999999</v>
      </c>
      <c r="IF18" s="100">
        <v>10.3</v>
      </c>
      <c r="IG18" s="100">
        <v>13</v>
      </c>
      <c r="IH18" s="100">
        <v>13.7</v>
      </c>
      <c r="II18" s="100">
        <v>13.6</v>
      </c>
      <c r="IJ18" s="100">
        <v>13.6</v>
      </c>
      <c r="IK18" s="100">
        <v>13.6</v>
      </c>
      <c r="IL18" s="100">
        <v>13</v>
      </c>
      <c r="IM18" s="100">
        <v>13</v>
      </c>
      <c r="IN18" s="100">
        <v>15.8</v>
      </c>
      <c r="IO18" s="100">
        <v>18</v>
      </c>
      <c r="IP18" s="100">
        <v>18</v>
      </c>
      <c r="IQ18" s="100">
        <v>18</v>
      </c>
      <c r="IR18" s="100">
        <v>15.8</v>
      </c>
      <c r="IS18" s="100">
        <v>15.8</v>
      </c>
      <c r="IT18" s="100">
        <v>11</v>
      </c>
      <c r="IU18" s="100">
        <v>23</v>
      </c>
      <c r="IV18" s="100">
        <v>35</v>
      </c>
      <c r="IW18" s="100">
        <v>40</v>
      </c>
      <c r="IX18" s="64"/>
      <c r="IY18" s="64"/>
      <c r="IZ18" s="64"/>
      <c r="JA18" s="64"/>
      <c r="JB18" s="64"/>
      <c r="JC18" s="64"/>
      <c r="JD18" s="64"/>
      <c r="JE18" s="64"/>
      <c r="JF18" s="64"/>
      <c r="JG18" s="64"/>
    </row>
    <row r="19" spans="2:267" s="61" customFormat="1" x14ac:dyDescent="0.35">
      <c r="B19" s="60" t="s">
        <v>666</v>
      </c>
      <c r="C19" s="69">
        <v>30</v>
      </c>
      <c r="D19" s="69">
        <v>30</v>
      </c>
      <c r="E19" s="69">
        <v>30</v>
      </c>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v>12</v>
      </c>
      <c r="IF19" s="69">
        <v>12</v>
      </c>
      <c r="IG19" s="69">
        <v>12</v>
      </c>
      <c r="IH19" s="69">
        <v>12</v>
      </c>
      <c r="II19" s="69">
        <v>12</v>
      </c>
      <c r="IJ19" s="69">
        <v>12</v>
      </c>
      <c r="IK19" s="69">
        <v>12</v>
      </c>
      <c r="IL19" s="69">
        <v>12</v>
      </c>
      <c r="IM19" s="69">
        <v>12</v>
      </c>
      <c r="IN19" s="69">
        <v>15</v>
      </c>
      <c r="IO19" s="69">
        <v>15</v>
      </c>
      <c r="IP19" s="69">
        <v>15</v>
      </c>
      <c r="IQ19" s="69">
        <v>15</v>
      </c>
      <c r="IR19" s="69">
        <v>15</v>
      </c>
      <c r="IS19" s="69">
        <v>15</v>
      </c>
      <c r="IT19" s="69">
        <v>15</v>
      </c>
      <c r="IU19" s="69">
        <v>30</v>
      </c>
      <c r="IV19" s="69">
        <v>30</v>
      </c>
      <c r="IW19" s="69">
        <v>30</v>
      </c>
      <c r="IX19" s="69"/>
      <c r="IY19" s="69"/>
      <c r="IZ19" s="69"/>
      <c r="JA19" s="69"/>
      <c r="JB19" s="69"/>
      <c r="JC19" s="69"/>
      <c r="JD19" s="69"/>
      <c r="JE19" s="69"/>
      <c r="JF19" s="69"/>
      <c r="JG19" s="69"/>
    </row>
    <row r="20" spans="2:267" ht="24.75" customHeight="1" x14ac:dyDescent="0.5">
      <c r="B20" s="62" t="s">
        <v>668</v>
      </c>
      <c r="C20" s="102"/>
      <c r="D20" s="102"/>
      <c r="E20" s="59"/>
      <c r="F20" s="59"/>
    </row>
    <row r="21" spans="2:267" x14ac:dyDescent="0.35">
      <c r="B21" s="72" t="s">
        <v>659</v>
      </c>
      <c r="C21" s="64" t="str">
        <f>IF(RIGHT(C7,3)="ATR","Low Voltage Switch",IF(LEFT(C7,5)="SETTS","Projector lifts",IF(LEFT(C7,4)="SETC","Low Voltage Switch",IF(LEFT(C7,5)="SEWS3","Projector lifts",IF(LEFT(C7,5)="SEWS3","Projector lifts",IF(RIGHT(C7,5)="ATR10","Low Voltage Switch",IF(RIGHT(C7,5)="ATRAC","Low Voltage Switch",IF(LEFT(C7,5)="SETTS","Projector lifts",IF(ISNUMBER(FIND("FR",C7)),"Rear Projection Fabric",IF(ISNUMBER(FIND("RP",C7)),"Front Projection Fabric",IF(LEFT(C7,3)="SWS","Easy reach pole",IF(LEFT(C7,4)="SFSC","Ceiling Mounts",IF(LEFT(C7,4)="SESC","Low Voltage Switch",IF(LEFT(C7,3)="SSM","Smart Move Low Voltage Switch",IF(LEFT(C7,3)="STS","Screen Bags",IF(LEFT(C7,6)="SSFS20","Drapery Kit 100",IF(LEFT(C7,6)="SSFS22","Drapery Kit 120",IF(LEFT(C7,5)="SSFS3","Drapery Kit 150"," "))))))))))))))))))</f>
        <v>Projector lifts</v>
      </c>
      <c r="D21" s="64" t="str">
        <f>IF(RIGHT(D7,3)="ATR","Low Voltage Switch",IF(LEFT(D7,5)="SETTS","Projector lifts",IF(LEFT(D7,4)="SETC","Low Voltage Switch",IF(LEFT(D7,5)="SEWS3","Projector lifts",IF(LEFT(D7,5)="SEWS3","Projector lifts",IF(RIGHT(D7,5)="ATR10","Low Voltage Switch",IF(RIGHT(D7,5)="ATRAC","Low Voltage Switch",IF(LEFT(D7,5)="SETTS","Projector lifts",IF(ISNUMBER(FIND("FR",D7)),"Rear Projection Fabric",IF(ISNUMBER(FIND("RP",D7)),"Front Projection Fabric",IF(LEFT(D7,3)="SWS","Easy reach pole",IF(LEFT(D7,4)="SFSC","Ceiling Mounts",IF(LEFT(D7,4)="SESC","Low Voltage Switch",IF(LEFT(D7,3)="SSM","Smart Move Low Voltage Switch",IF(LEFT(D7,3)="STS","Screen Bags",IF(LEFT(D7,6)="SSFS20","Drapery Kit 100",IF(LEFT(D7,6)="SSFS22","Drapery Kit 120",IF(LEFT(D7,5)="SSFS3","Drapery Kit 150"," "))))))))))))))))))</f>
        <v>Projector lifts</v>
      </c>
      <c r="E21" s="64" t="str">
        <f>IF(RIGHT(E7,3)="ATR","Low Voltage Switch",IF(LEFT(E7,5)="SETTS","Projector lifts",IF(LEFT(E7,4)="SETC","Low Voltage Switch",IF(LEFT(E7,5)="SEWS3","Projector lifts",IF(LEFT(E7,5)="SEWS3","Projector lifts",IF(RIGHT(E7,5)="ATR10","Low Voltage Switch",IF(RIGHT(E7,5)="ATRAC","Low Voltage Switch",IF(LEFT(E7,5)="SETTS","Projector lifts",IF(ISNUMBER(FIND("FR",E7)),"Rear Projection Fabric",IF(ISNUMBER(FIND("RP",E7)),"Front Projection Fabric",IF(LEFT(E7,3)="SWS","Easy reach pole",IF(LEFT(E7,4)="SFSC","Ceiling Mounts",IF(LEFT(E7,4)="SESC","Low Voltage Switch",IF(LEFT(E7,3)="SSM","Smart Move Low Voltage Switch",IF(LEFT(E7,3)="STS","Screen Bags",IF(LEFT(E7,6)="SSFS20","Drapery Kit 100",IF(LEFT(E7,6)="SSFS22","Drapery Kit 120",IF(LEFT(E7,5)="SSFS3","Drapery Kit 150",""))))))))))))))))))</f>
        <v>Projector lifts</v>
      </c>
      <c r="F21" s="64" t="str">
        <f t="shared" ref="F21:G21" si="0">IF(RIGHT(F7,3)="ATR","Low Voltage Switch",IF(LEFT(F7,5)="SETTS","Projector lifts",IF(LEFT(F7,4)="SETC","Low Voltage Switch",IF(LEFT(F7,5)="SEWS3","Projector lifts",IF(LEFT(F7,5)="SEWS3","Projector lifts",IF(RIGHT(F7,5)="ATR10","Low Voltage Switch",IF(RIGHT(F7,5)="ATRAC","Low Voltage Switch",IF(LEFT(F7,5)="SETTS","Projector lifts",IF(ISNUMBER(FIND("FR",F7)),"Rear Projection Fabric",IF(ISNUMBER(FIND("RP",F7)),"Front Projection Fabric",IF(LEFT(F7,3)="SWS","Easy reach pole",IF(LEFT(F7,4)="SFSC","Ceiling Mounts",IF(LEFT(F7,4)="SESC","Low Voltage Switch",IF(LEFT(F7,3)="SSM","Smart Move Low Voltage Switch",IF(LEFT(F7,3)="STS","Screen Bags",IF(LEFT(F7,6)="SSFS20","Drapery Kit 100",IF(LEFT(F7,6)="SSFS22","Drapery Kit 120",IF(LEFT(F7,5)="SSFS3","Drapery Kit 150",""))))))))))))))))))</f>
        <v/>
      </c>
      <c r="G21" s="64" t="str">
        <f t="shared" si="0"/>
        <v/>
      </c>
      <c r="H21" s="64"/>
    </row>
    <row r="22" spans="2:267" x14ac:dyDescent="0.35">
      <c r="B22" s="55" t="s">
        <v>660</v>
      </c>
      <c r="C22" s="80" t="e">
        <f t="shared" ref="C22" si="1">IF(C21="Low Voltage Switch",HYPERLINK("http://www.sapphireav.com/SEWS-ATR-Up-and-Down-Switch_p_648.html","WebLink"),IF(C21="Ceiling Mounts",HYPERLINK("http://www.sapphireav.com/Projector-and-AV-Mounts_c_15.html","WebLink"),IF(C21="Screen Bags",HYPERLINK("http://www.sapphireav.com/search.asp?keyword=STB&amp;search.x=0&amp;search.y=0","WebLink"),IF(C7="SFFS203FR-WSF"," http://www.sapphireav.com/Sapphire-2m-Rear-Projection-Rapid-Fold-Fabric-Only-169-Format_p_664.html",IF(C7="SFFS203FR","http://www.sapphireav.com/Rapid-Fold-Rear-Projection-fabric-for-SFFS203-Screen_p_150.html",IF(C7="SFFS244FR-WSF","http://www.sapphireav.com/Rapid-Fold-Rear-Projection-fabric-for-SFFS244WSF_p_506.html",IF(C7="SFFS203FR-WSF","http://www.sapphireav.com/Sapphire-2m-Rear-Projection-Rapid-Fold-Fabric-Only-169-Format_p_664.html",IF(C7="SFFS305FR-WSF","http://www.sapphireav.com/3m-Front-Projection-169-Fabric-Only_p_670.html",IF(C7="SFFS244FR-WSF","http://www.sapphireav.com/Rapid-Fold-Rear-Projection-fabric-for-SFFS244WSF_p_506.html",IF(C7="SFFS365FR-WSF","http://www.sapphireav.com/36m-Rear-Projection-169-Fabric-Only_p_672.html",IF(C7="SFFS244RP","http://www.sapphireav.com/Rapid-fold-244-Front-Projection-Fabric_p_160.html",IF(C7="SFFS305RP","http://www.sapphireav.com/Rapid-Fold-305-Front-Projection-Fabric_p_161.html",IF(C7="SFFS305FR","http://www.sapphireav.com/Rapid-Fold-305-Rear-Projection-Fabric_p_156.html",IF(C7="SFFS305RP-WSF","http://www.sapphireav.com/3m-Front-Projection-169-Fabric-Only_p_670.html",IF(C7="SFFS365RP","http://www.sapphireav.com/Rapid-Fold-365-Front-Projection-Fabric_p_162.html",IF(C7="SFFS244FR","http://www.sapphireav.com/Rapid-Fold-244-Rear-Projection-Fabric_p_153.html",IF(C7="SFFS508FR","http://www.sapphireav.com/Sapphire-5m-Rapid-Fold-Rear-Fabric-Only-43-Format_p_668.html",IF(C7="SFFS404FR","http://www.sapphireav.com/Rapid-Fold-404-Rear-Projection-Fabric_p_158.html",IF(C7="SFFS404FR-WSF","http://www.sapphireav.com/4m-Rear-Projection-169-Fabric-Only_p_666.html",IF(C7="SFFS305RP10","http://www.sapphireav.com/Sapphire-3m-Rapid-Fold-Front-Fabric-Only-1610-for-SFFS305FR10-or-SFFS305RP10_p_677.html",IF(C7="SFFS305FR10","http://www.sapphireav.com/Sapphire-3m-Rapid-Fold-Rear-Fabric-Only-1610-for-SFFS305FR10-or-SFFS305RP10_p_695.html",IF(C7="SFFS365RP10","http://www.sapphireav.com/Sapphire-36m-Rapid-Fold-Front-Fabric-Only-1610-for-SFFS365FR10-or-SFFS365RP10_p_688.html",IF(C7="SFFS365FR10","http://www.sapphireav.com/Sapphire-36m-Rear-Projecion-Rapid-Fold-Fabric-Only-1610-for-SFFS365FR10-or-SFFS365RP10_p_696.html",IF(#REF!="SFFS365RP-WSF","http://www.sapphireav.com/Sapphire-36m-Rapid-Fold-Front-Fabric-Only-169-for-SFFS365FR-WSF-or-SFFS365RP-WSF_p_693.html",
IF(C7="SFFS508RP","http://www.sapphireav.com/Sapphire-5m-Rapid-Fold-Front-Fabric-Only-43-format_p_667.html",IF(C7="SFFS365FR","http://www.sapphireav.com/Rapid-Fold-365-Rear-Projection-Fabric_p_157.html",IF(C7="SFFS203RP","http://www.sapphireav.com/Rapid-Fold-203-Front-Projection-Fabric_p_159.html",IF(C21="Easy reach pole",HYPERLINK("http://www.sapphireav.com/Sapphire-Easy-Reach-Pole_p_108.html","WebLink"),IF(C21="Projector lifts",HYPERLINK("http://www.sapphireav.com/Projector-Lifts_c_103.html","Web Link"),"")))))))))))))))))))))))))))))</f>
        <v>#REF!</v>
      </c>
      <c r="D22" s="80" t="str">
        <f t="shared" ref="D22:G22" si="2">IF(D21="Low Voltage Switch",HYPERLINK("http://www.sapphireav.com/SEWS-ATR-Up-and-Down-Switch_p_648.html","WebLink"),IF(D21="Ceiling Mounts",HYPERLINK("http://www.sapphireav.com/Projector-and-AV-Mounts_c_15.html","WebLink"),IF(D21="Screen Bags",HYPERLINK("http://www.sapphireav.com/search.asp?keyword=STB&amp;search.x=0&amp;search.y=0","WebLink"),IF(D7="SFFS203FR-WSF"," http://www.sapphireav.com/Sapphire-2m-Rear-Projection-Rapid-Fold-Fabric-Only-169-Format_p_664.html",IF(D7="SFFS203FR","http://www.sapphireav.com/Rapid-Fold-Rear-Projection-fabric-for-SFFS203-Screen_p_150.html",IF(D7="SFFS244FR-WSF","http://www.sapphireav.com/Rapid-Fold-Rear-Projection-fabric-for-SFFS244WSF_p_506.html",IF(D7="SFFS203FR-WSF","http://www.sapphireav.com/Sapphire-2m-Rear-Projection-Rapid-Fold-Fabric-Only-169-Format_p_664.html",IF(D7="SFFS305FR-WSF","http://www.sapphireav.com/3m-Front-Projection-169-Fabric-Only_p_670.html",IF(D7="SFFS244FR-WSF","http://www.sapphireav.com/Rapid-Fold-Rear-Projection-fabric-for-SFFS244WSF_p_506.html",IF(D7="SFFS365FR-WSF","http://www.sapphireav.com/36m-Rear-Projection-169-Fabric-Only_p_672.html",IF(D7="SFFS244RP","http://www.sapphireav.com/Rapid-fold-244-Front-Projection-Fabric_p_160.html",IF(D7="SFFS305RP","http://www.sapphireav.com/Rapid-Fold-305-Front-Projection-Fabric_p_161.html",IF(D7="SFFS305FR","http://www.sapphireav.com/Rapid-Fold-305-Rear-Projection-Fabric_p_156.html",IF(D7="SFFS305RP-WSF","http://www.sapphireav.com/3m-Front-Projection-169-Fabric-Only_p_670.html",IF(D7="SFFS365RP","http://www.sapphireav.com/Rapid-Fold-365-Front-Projection-Fabric_p_162.html",IF(D7="SFFS244FR","http://www.sapphireav.com/Rapid-Fold-244-Rear-Projection-Fabric_p_153.html",IF(D7="SFFS508FR","http://www.sapphireav.com/Sapphire-5m-Rapid-Fold-Rear-Fabric-Only-43-Format_p_668.html",IF(D7="SFFS404FR","http://www.sapphireav.com/Rapid-Fold-404-Rear-Projection-Fabric_p_158.html",IF(D7="SFFS404FR-WSF","http://www.sapphireav.com/4m-Rear-Projection-169-Fabric-Only_p_666.html",IF(D7="SFFS305RP10","http://www.sapphireav.com/Sapphire-3m-Rapid-Fold-Front-Fabric-Only-1610-for-SFFS305FR10-or-SFFS305RP10_p_677.html",IF(D7="SFFS305FR10","http://www.sapphireav.com/Sapphire-3m-Rapid-Fold-Rear-Fabric-Only-1610-for-SFFS305FR10-or-SFFS305RP10_p_695.html",IF(D7="SFFS365RP10","http://www.sapphireav.com/Sapphire-36m-Rapid-Fold-Front-Fabric-Only-1610-for-SFFS365FR10-or-SFFS365RP10_p_688.html",IF(D7="SFFS365FR10","http://www.sapphireav.com/Sapphire-36m-Rear-Projecion-Rapid-Fold-Fabric-Only-1610-for-SFFS365FR10-or-SFFS365RP10_p_696.html",IF(A7="SFFS365RP-WSF","http://www.sapphireav.com/Sapphire-36m-Rapid-Fold-Front-Fabric-Only-169-for-SFFS365FR-WSF-or-SFFS365RP-WSF_p_693.html",
IF(D7="SFFS508RP","http://www.sapphireav.com/Sapphire-5m-Rapid-Fold-Front-Fabric-Only-43-format_p_667.html",IF(D7="SFFS365FR","http://www.sapphireav.com/Rapid-Fold-365-Rear-Projection-Fabric_p_157.html",IF(D7="SFFS203RP","http://www.sapphireav.com/Rapid-Fold-203-Front-Projection-Fabric_p_159.html",IF(D21="Easy reach pole",HYPERLINK("http://www.sapphireav.com/Sapphire-Easy-Reach-Pole_p_108.html","WebLink"),IF(D21="Projector lifts",HYPERLINK("http://www.sapphireav.com/Projector-Lifts_c_103.html","Web Link"),"")))))))))))))))))))))))))))))</f>
        <v>Web Link</v>
      </c>
      <c r="E22" s="80" t="str">
        <f t="shared" si="2"/>
        <v>Web Link</v>
      </c>
      <c r="F22" s="80" t="str">
        <f>IF(F21="Low Voltage Switch",HYPERLINK("http://www.sapphireav.com/SEWS-ATR-Up-and-Down-Switch_p_648.html","WebLink"),IF(F21="Ceiling Mounts",HYPERLINK("http://www.sapphireav.com/Projector-and-AV-Mounts_c_15.html","WebLink"),IF(F21="Screen Bags",HYPERLINK("http://www.sapphireav.com/search.asp?keyword=STB&amp;search.x=0&amp;search.y=0","WebLink"),IF(F7="SFFS203FR-WSF"," http://www.sapphireav.com/Sapphire-2m-Rear-Projection-Rapid-Fold-Fabric-Only-169-Format_p_664.html",IF(F7="SFFS203FR","http://www.sapphireav.com/Rapid-Fold-Rear-Projection-fabric-for-SFFS203-Screen_p_150.html",IF(F7="SFFS244FR-WSF","http://www.sapphireav.com/Rapid-Fold-Rear-Projection-fabric-for-SFFS244WSF_p_506.html",IF(F7="SFFS203FR-WSF","http://www.sapphireav.com/Sapphire-2m-Rear-Projection-Rapid-Fold-Fabric-Only-169-Format_p_664.html",IF(F7="SFFS305FR-WSF","http://www.sapphireav.com/3m-Front-Projection-169-Fabric-Only_p_670.html",IF(F7="SFFS244FR-WSF","http://www.sapphireav.com/Rapid-Fold-Rear-Projection-fabric-for-SFFS244WSF_p_506.html",IF(F7="SFFS365FR-WSF","http://www.sapphireav.com/36m-Rear-Projection-169-Fabric-Only_p_672.html",IF(F7="SFFS244RP","http://www.sapphireav.com/Rapid-fold-244-Front-Projection-Fabric_p_160.html",IF(F7="SFFS305RP","http://www.sapphireav.com/Rapid-Fold-305-Front-Projection-Fabric_p_161.html",IF(F7="SFFS305FR","http://www.sapphireav.com/Rapid-Fold-305-Rear-Projection-Fabric_p_156.html",IF(F7="SFFS305RP-WSF","http://www.sapphireav.com/3m-Front-Projection-169-Fabric-Only_p_670.html",IF(F7="SFFS365RP","http://www.sapphireav.com/Rapid-Fold-365-Front-Projection-Fabric_p_162.html",IF(F7="SFFS244FR","http://www.sapphireav.com/Rapid-Fold-244-Rear-Projection-Fabric_p_153.html",IF(F7="SFFS508FR","http://www.sapphireav.com/Sapphire-5m-Rapid-Fold-Rear-Fabric-Only-43-Format_p_668.html",IF(F7="SFFS404FR","http://www.sapphireav.com/Rapid-Fold-404-Rear-Projection-Fabric_p_158.html",IF(F7="SFFS404FR-WSF","http://www.sapphireav.com/4m-Rear-Projection-169-Fabric-Only_p_666.html",IF(F7="SFFS305RP10","http://www.sapphireav.com/Sapphire-3m-Rapid-Fold-Front-Fabric-Only-1610-for-SFFS305FR10-or-SFFS305RP10_p_677.html",IF(F7="SFFS305FR10","http://www.sapphireav.com/Sapphire-3m-Rapid-Fold-Rear-Fabric-Only-1610-for-SFFS305FR10-or-SFFS305RP10_p_695.html",IF(F7="SFFS365RP10","http://www.sapphireav.com/Sapphire-36m-Rapid-Fold-Front-Fabric-Only-1610-for-SFFS365FR10-or-SFFS365RP10_p_688.html",IF(F7="SFFS365FR10","http://www.sapphireav.com/Sapphire-36m-Rear-Projecion-Rapid-Fold-Fabric-Only-1610-for-SFFS365FR10-or-SFFS365RP10_p_696.html",IF(C7="SFFS365RP-WSF","http://www.sapphireav.com/Sapphire-36m-Rapid-Fold-Front-Fabric-Only-169-for-SFFS365FR-WSF-or-SFFS365RP-WSF_p_693.html",IF(F7="SFFS508RP","http://www.sapphireav.com/Sapphire-5m-Rapid-Fold-Front-Fabric-Only-43-format_p_667.html",IF(F7="SFFS365FR","http://www.sapphireav.com/Rapid-Fold-365-Rear-Projection-Fabric_p_157.html",IF(F7="SFFS203RP","http://www.sapphireav.com/Rapid-Fold-203-Front-Projection-Fabric_p_159.html",IF(F21="Easy reach pole",HYPERLINK("http://www.sapphireav.com/Sapphire-Easy-Reach-Pole_p_108.html","WebLink"),IF(F21="Projector lifts",HYPERLINK("http://www.sapphireav.com/Projector-Lifts_c_103.html","Web Link"),"")))))))))))))))))))))))))))))</f>
        <v/>
      </c>
      <c r="G22" s="80" t="str">
        <f t="shared" si="2"/>
        <v/>
      </c>
      <c r="H22" s="80"/>
      <c r="I22" s="11"/>
    </row>
    <row r="23" spans="2:267" x14ac:dyDescent="0.35">
      <c r="B23" s="56" t="s">
        <v>661</v>
      </c>
      <c r="C23" s="64" t="str">
        <f>IF(LEFT(C7,5)="SEWS1","Stand-off brackets",IF(LEFT(C7,5)="SEWS2","Stand-off brackets",IF(LEFT(C7,5)="SEWS3","Stand-off brackets",IF(LEFT(C7,4)="SWS2","Stand-off brackets",IF(LEFT(C7,5)="SEWS4","Stand-off brackets",IF(LEFT(C7,5)="SEWS5","Stand-off brackets",IF(LEFT(C7,5)="SETTS","Stand-off brackets",IF(LEFT(C7,4)="SETC","Projector lifts",IF(LEFT(C7,4)="SESC","Projector lifts",IF(LEFT(C7,3)="SSM","Projector lifts",IF(LEFT(C7,3)="SFL","VGA CABLES",IF(LEFT(C7,4)="SFFS","VGA CABLES",IF(LEFT(C7,3)="SWS","Stand-off brackets"," ")))))))))))))</f>
        <v>Stand-off brackets</v>
      </c>
      <c r="D23" s="64" t="str">
        <f>IF(LEFT(D7,5)="SEWS1","Stand-off brackets",IF(LEFT(D7,5)="SEWS2","Stand-off brackets",IF(LEFT(D7,5)="SEWS3","Stand-off brackets",IF(LEFT(D7,4)="SWS2","Stand-off brackets",IF(LEFT(D7,5)="SEWS4","Stand-off brackets",IF(LEFT(D7,5)="SEWS5","Stand-off brackets",IF(LEFT(D7,5)="SETTS","Stand-off brackets",IF(LEFT(D7,4)="SETC","Projector lifts",IF(LEFT(D7,4)="SESC","Projector lifts",IF(LEFT(D7,3)="SSM","Projector lifts",IF(LEFT(D7,3)="SFL","VGA CABLES",IF(LEFT(D7,4)="SFFS","VGA CABLES",IF(LEFT(D7,3)="SWS","Stand-off brackets"," ")))))))))))))</f>
        <v>Stand-off brackets</v>
      </c>
      <c r="E23" s="64" t="str">
        <f>IF(LEFT(E7,5)="SEWS1","Stand-off brackets",IF(LEFT(E7,5)="SEWS2","Stand-off brackets",IF(LEFT(E7,5)="SEWS3","Stand-off brackets",IF(LEFT(E7,4)="SWS2","Stand-off brackets",IF(LEFT(E7,5)="SEWS4","Stand-off brackets",IF(LEFT(E7,5)="SEWS5","Stand-off brackets",IF(LEFT(E7,5)="SETTS","Stand-off brackets",IF(LEFT(E7,4)="SETC","Projector lifts",IF(LEFT(E7,4)="SESC","Projector lifts",IF(LEFT(E7,3)="SSM","Projector lifts",IF(LEFT(E7,3)="SFL","VGA CABLES",IF(LEFT(E7,4)="SFFS","VGA CABLES",IF(LEFT(E7,3)="SWS","Stand-off brackets","")))))))))))))</f>
        <v>Stand-off brackets</v>
      </c>
      <c r="F23" s="64" t="str">
        <f t="shared" ref="F23:G23" si="3">IF(LEFT(F7,5)="SEWS1","Stand-off brackets",IF(LEFT(F7,5)="SEWS2","Stand-off brackets",IF(LEFT(F7,5)="SEWS3","Stand-off brackets",IF(LEFT(F7,4)="SWS2","Stand-off brackets",IF(LEFT(F7,5)="SEWS4","Stand-off brackets",IF(LEFT(F7,5)="SEWS5","Stand-off brackets",IF(LEFT(F7,5)="SETTS","Stand-off brackets",IF(LEFT(F7,4)="SETC","Projector lifts",IF(LEFT(F7,4)="SESC","Projector lifts",IF(LEFT(F7,3)="SSM","Projector lifts",IF(LEFT(F7,3)="SFL","VGA CABLES",IF(LEFT(F7,4)="SFFS","VGA CABLES",IF(LEFT(F7,3)="SWS","Stand-off brackets","")))))))))))))</f>
        <v/>
      </c>
      <c r="G23" s="64" t="str">
        <f t="shared" si="3"/>
        <v/>
      </c>
    </row>
    <row r="24" spans="2:267" x14ac:dyDescent="0.35">
      <c r="B24" s="55" t="s">
        <v>660</v>
      </c>
      <c r="C24" s="64" t="str">
        <f>IF(C23="Stand-off brackets",HYPERLINK("http://www.sapphireav.com/L-Shape-Extension-Brackets-30cm_p_276.html","WebLink"),IF(C23="Projector lifts",HYPERLINK("http://www.sapphireav.com/Projector-lift-for-small-ceiling-voids-_p_582.html","Web Link"),IF(C23="VGA CABLES",HYPERLINK("http://www.sapphireav.com/VGA-Cables_c_81.html","Web Link"),"")))</f>
        <v>WebLink</v>
      </c>
      <c r="D24" s="64" t="str">
        <f>IF(D23="Stand-off brackets",HYPERLINK("http://www.sapphireav.com/L-Shape-Extension-Brackets-30cm_p_276.html","WebLink"),IF(D23="Projector lifts",HYPERLINK("http://www.sapphireav.com/Projector-lift-for-small-ceiling-voids-_p_582.html","Web Link"),IF(D23="VGA CABLES",HYPERLINK("http://www.sapphireav.com/VGA-Cables_c_81.html","Web Link"),"")))</f>
        <v>WebLink</v>
      </c>
      <c r="E24" s="64" t="str">
        <f>IF(E23="Stand-off brackets",HYPERLINK("http://www.sapphireav.com/L-Shape-Extension-Brackets-30cm_p_276.html","WebLink"),IF(E23="Projector lifts",HYPERLINK("http://www.sapphireav.com/Projector-lift-for-small-ceiling-voids-_p_582.html","Web Link"),IF(E23="VGA CABLES",HYPERLINK("http://www.sapphireav.com/VGA-Cables_c_81.html","Web Link"),"")))</f>
        <v>WebLink</v>
      </c>
      <c r="F24" s="64" t="str">
        <f>IF(F23="Stand-off brackets",HYPERLINK("http://www.sapphireav.com/L-Shape-Extension-Brackets-30cm_p_276.html","WebLink"),IF(F23="Projector lifts",HYPERLINK("http://www.sapphireav.com/Projector-lift-for-small-ceiling-voids-_p_582.html","Web Link"),IF(F23="VGA CABLES",HYPERLINK("http://www.sapphireav.com/VGA-Cables_c_81.html","Web Link"),"")))</f>
        <v/>
      </c>
      <c r="G24" s="64" t="str">
        <f>IF(G23="Stand-off brackets",HYPERLINK("http://www.sapphireav.com/L-Shape-Extension-Brackets-30cm_p_276.html","WebLink"),IF(G23="Projector lifts",HYPERLINK("http://www.sapphireav.com/Projector-lift-for-small-ceiling-voids-_p_582.html","Web Link"),IF(G23="VGA CABLES",HYPERLINK("http://www.sapphireav.com/VGA-Cables_c_81.html","Web Link"),"")))</f>
        <v/>
      </c>
      <c r="H24" s="11"/>
      <c r="I24" s="11"/>
    </row>
    <row r="25" spans="2:267" x14ac:dyDescent="0.35">
      <c r="B25" s="72" t="s">
        <v>662</v>
      </c>
      <c r="C25" s="64" t="str">
        <f>IF(RIGHT(C7,4)="03RP","Drape Kit 4by3",IF(RIGHT(C7,4)="03FR","Drape Kit 4by3",IF(RIGHT(C7,4)="05FR","305-Drape Kit 4by3",IF(RIGHT(C7,4)="05RP","305-Drape Kit 4by3",IF(RIGHT(C7,4)="44FR","244-Drape Kit 4by3",IF(RIGHT(C7,8)="44FR-WSF","244-Drape Kit 16by9",IF(RIGHT(C7,4)="44RP","244-Drape Kit 4by3",IF(RIGHT(C7,4)="44RP","244-Drape Kit 4by3",IF(RIGHT(C7,6)="3RP-WSF","Drape Kit 16by9",IF(RIGHT(C7,6)="44FR10","244-Drape Kit 16by10",IF(RIGHT(C7,6)="44RP10","244-Drape Kit 16by10",IF(RIGHT(C7,7)="3FR-WSF","Drape Kit 16by9",IF(RIGHT(C7,7)="3RP-WSF","Drape Kit 16by9",IF(RIGHT(C7,8)="44RP-WSF","244-Drape Kit 16by9",IF(RIGHT(C7,6)="05FR10","305-Drape Kit 16by10",IF(RIGHT(C7,6)="05RP10","305-Drape Kit 16by10",IF(RIGHT(C7,8)="05RP-WSF","305-Drape Kit 16by9",IF(RIGHT(C7,8)="05FR-WSF","305-Drape Kit 16by9",IF(RIGHT(C7,6)="65FR10","365-Drape Kit 16by10",IF(RIGHT(C7,6)="04FR10","404-Drape Kit 16by10",IF(RIGHT(C7,6)="04RP10","404-Drape Kit 16by10",IF(RIGHT(C7,6)="65RP10","365-Drape Kit 16by10",IF(RIGHT(C7,8)="65FR-WSF","365-Drape Kit 16by9",IF(RIGHT(C7,8)="65RP-WSF","365-Drape Kit 16by9",IF(RIGHT(C7,8)="04RP-WSF","404-Drape Kit 16by9",IF(RIGHT(C7,8)="04FR-WSF","404-Drape Kit 16by9",IF(RIGHT(C7,4)="65RP","365-Drape Kit 4by3",IF(RIGHT(C7,4)="65FR","365-Drape Kit 4by3",IF(RIGHT(C7,4)="04FR","404-Drape Kit 4by3",IF(LEFT(C7,5)="SEWS3","STR",IF(LEFT(C7,4)="SESC","STR",IF(LEFT(C7,5)="SETTS","STR",IF(RIGHT(C7,4)="04RP","404-Drape Kit 4by3",IF(RIGHT(C7,6)="03FR10","Drape Kit 16by10",IF(RIGHT(C7,6)="03RP10","Drape Kit 16by10","")))))))))))))))))))))))))))))))))))</f>
        <v>STR</v>
      </c>
      <c r="D25" s="64" t="str">
        <f t="shared" ref="D25:G25" si="4">IF(RIGHT(D7,4)="03RP","Drape Kit 4by3",IF(RIGHT(D7,4)="03FR","Drape Kit 4by3",IF(RIGHT(D7,4)="05FR","305-Drape Kit 4by3",IF(RIGHT(D7,4)="05RP","305-Drape Kit 4by3",IF(RIGHT(D7,4)="44FR","244-Drape Kit 4by3",IF(RIGHT(D7,8)="44FR-WSF","244-Drape Kit 16by9",IF(RIGHT(D7,4)="44RP","244-Drape Kit 4by3",IF(RIGHT(D7,4)="44RP","244-Drape Kit 4by3",IF(RIGHT(D7,6)="3RP-WSF","Drape Kit 16by9",IF(RIGHT(D7,6)="44FR10","244-Drape Kit 16by10",IF(RIGHT(D7,6)="44RP10","244-Drape Kit 16by10",IF(RIGHT(D7,7)="3FR-WSF","Drape Kit 16by9",IF(RIGHT(D7,7)="3RP-WSF","Drape Kit 16by9",IF(RIGHT(D7,8)="44RP-WSF","244-Drape Kit 16by9",IF(RIGHT(D7,6)="05FR10","305-Drape Kit 16by10",IF(RIGHT(D7,6)="05RP10","305-Drape Kit 16by10",IF(RIGHT(D7,8)="05RP-WSF","305-Drape Kit 16by9",IF(RIGHT(D7,8)="05FR-WSF","305-Drape Kit 16by9",IF(RIGHT(D7,6)="65FR10","365-Drape Kit 16by10",IF(RIGHT(D7,6)="04FR10","404-Drape Kit 16by10",IF(RIGHT(D7,6)="04RP10","404-Drape Kit 16by10",IF(RIGHT(D7,6)="65RP10","365-Drape Kit 16by10",IF(RIGHT(D7,8)="65FR-WSF","365-Drape Kit 16by9",IF(RIGHT(D7,8)="65RP-WSF","365-Drape Kit 16by9",IF(RIGHT(D7,8)="04RP-WSF","404-Drape Kit 16by9",IF(RIGHT(D7,8)="04FR-WSF","404-Drape Kit 16by9",IF(RIGHT(D7,4)="65RP","365-Drape Kit 4by3",IF(RIGHT(D7,4)="65FR","365-Drape Kit 4by3",IF(RIGHT(D7,4)="04FR","404-Drape Kit 4by3",IF(LEFT(D7,5)="SEWS3","STR",IF(LEFT(D7,4)="SESC","STR",IF(LEFT(D7,5)="SETTS","STR",IF(RIGHT(D7,4)="04RP","404-Drape Kit 4by3",IF(RIGHT(D7,6)="03FR10","Drape Kit 16by10",IF(RIGHT(D7,6)="03RP10","Drape Kit 16by10","")))))))))))))))))))))))))))))))))))</f>
        <v>STR</v>
      </c>
      <c r="E25" s="64" t="str">
        <f t="shared" si="4"/>
        <v>STR</v>
      </c>
      <c r="F25" s="64" t="str">
        <f t="shared" si="4"/>
        <v/>
      </c>
      <c r="G25" s="64" t="str">
        <f t="shared" si="4"/>
        <v/>
      </c>
      <c r="H25" s="64"/>
      <c r="I25" s="64"/>
      <c r="J25" s="11"/>
    </row>
    <row r="26" spans="2:267" x14ac:dyDescent="0.35">
      <c r="B26" s="55" t="s">
        <v>660</v>
      </c>
      <c r="C26" s="64" t="str">
        <f>IF(C25="Drape kIT 4by3",HYPERLINK("http://www.sapphireav.com/Sapphire-2m-Drapery-kit-for-SFFS203FR-or-SFFS203RP-in-Blue_p_702.html","WebLink"),IF(C25="Drape Kit 16by9",HYPERLINK("http://www.sapphireav.com/Sapphire-2m-Drapery-kit-for-SFFS203FR-WSF-or-SFFS203RP-WSF-in-Black_p_703.html","WebLink"),IF(C25="244-Drape Kit 16by9",HYPERLINK("http://www.sapphireav.com/Sapphire-24m-Drapery-kit-for-SFFS244FR-WSF-or-SFFS244RP-WSF-in-Black_p_706.html","WebLink"),IF(C25="244-DRAPE Kit 4by3",HYPERLINK("http://www.sapphireav.com/Sapphire-24m-Drapery-kit-for-SFFS244FR-or-SFFS244RP-in-Blue_p_705.html","WebLink"),IF(C25="244-Drape Kit 16by10",HYPERLINK("http://www.sapphireav.com/Sapphire-24m-Drapery-kit-for-SFFS244FR10-or-SFFS244RP10-in-Black_p_707.html","WebLink"),IF(C25="305-DRAPE Kit 16BY9",HYPERLINK("http://www.sapphireav.com/Sapphire-3m-Drapery-kit-for-SFFS305FR-WSF-or-SFFS305RP-WSF-in-Black_p_710.html","WebLink"),IF(C25="305-DRAPE Kit 4by3",HYPERLINK("http://www.sapphireav.com/Sapphire-3m-Drapery-kit-for-SFFS305FR-or-SFFS305RP-in-Black_p_709.html","WebLink"),IF(C25="365-DRAPE Kit 4by3",HYPERLINK("http://www.sapphireav.com/Sapphire-36m-Drapery-kit-for-SFFS365FR-or-SFFS365RP-in-Black_p_712.html","WebLink"),IF(C25="365-Drape Kit 16by10",HYPERLINK("http://www.sapphireav.com/Sapphire-36m-Drapery-kit-for-SFFS365FR10-or-SFFS365RP10-in-Black_p_714.html","WebLink"),IF(C25="365-Drape Kit 16by9",HYPERLINK("http://www.sapphireav.com/Sapphire-36m-Drapery-kit-for-SFFS365FR-WSF-or-SFFS365RP-WSF-in-Black_p_713.html","WebLink"),IF(C25="404-DRAPE Kit 16by10",HYPERLINK("http://www.sapphireav.com/Sapphire-4m-Drapery-kit-for-SFFS404FR10-or-SFFS404RP10-in-Black_p_717.html","WebLink"),IF(C25="404-DRAPE Kit 16by9",HYPERLINK("http://www.sapphireav.com/Sapphire-4m-Drapery-kit-for-SFFS404FR-WSF-or-SFFS404RP-WSF-in-Black_p_716.html","WebLink"),IF(C25="404-DRAPE Kit 4by3",HYPERLINK("http://www.sapphireav.com/Sapphire-4m-Drapery-kit-for-SFFS404FR-or-SFFS404RP-in-Black_p_715.html","WebLink"),IF(C25="305-DRAPE Kit 16BY10",HYPERLINK("http://www.sapphireav.com/Sapphire-3m-Drapery-kit-for-SFFS305FR10-or-SFFS305RP10-in-Black_p_711.html","WebLink"),IF(C25="STR",HYPERLINK("http://www.sapphireav.com/Sapphire-Auto-Trigger-System_p_16.html","WebLink"),IF(C25="Drape Kit 16by10",HYPERLINK("http://www.sapphireav.com/Sapphire-2m-Drapery-kit-for-SFFS203FR10-or-SFFS203RP10-in-Black_p_704.html","WebLink"),""))))))))))))))))</f>
        <v>WebLink</v>
      </c>
      <c r="D26" s="64" t="str">
        <f t="shared" ref="D26:G26" si="5">IF(D25="Drape kIT 4by3",HYPERLINK("http://www.sapphireav.com/Sapphire-2m-Drapery-kit-for-SFFS203FR-or-SFFS203RP-in-Blue_p_702.html","WebLink"),IF(D25="Drape Kit 16by9",HYPERLINK("http://www.sapphireav.com/Sapphire-2m-Drapery-kit-for-SFFS203FR-WSF-or-SFFS203RP-WSF-in-Black_p_703.html","WebLink"),IF(D25="244-Drape Kit 16by9",HYPERLINK("http://www.sapphireav.com/Sapphire-24m-Drapery-kit-for-SFFS244FR-WSF-or-SFFS244RP-WSF-in-Black_p_706.html","WebLink"),IF(D25="244-DRAPE Kit 4by3",HYPERLINK("http://www.sapphireav.com/Sapphire-24m-Drapery-kit-for-SFFS244FR-or-SFFS244RP-in-Blue_p_705.html","WebLink"),IF(D25="244-Drape Kit 16by10",HYPERLINK("http://www.sapphireav.com/Sapphire-24m-Drapery-kit-for-SFFS244FR10-or-SFFS244RP10-in-Black_p_707.html","WebLink"),IF(D25="305-DRAPE Kit 16BY9",HYPERLINK("http://www.sapphireav.com/Sapphire-3m-Drapery-kit-for-SFFS305FR-WSF-or-SFFS305RP-WSF-in-Black_p_710.html","WebLink"),IF(D25="305-DRAPE Kit 4by3",HYPERLINK("http://www.sapphireav.com/Sapphire-3m-Drapery-kit-for-SFFS305FR-or-SFFS305RP-in-Black_p_709.html","WebLink"),IF(D25="365-DRAPE Kit 4by3",HYPERLINK("http://www.sapphireav.com/Sapphire-36m-Drapery-kit-for-SFFS365FR-or-SFFS365RP-in-Black_p_712.html","WebLink"),IF(D25="365-Drape Kit 16by10",HYPERLINK("http://www.sapphireav.com/Sapphire-36m-Drapery-kit-for-SFFS365FR10-or-SFFS365RP10-in-Black_p_714.html","WebLink"),IF(D25="365-Drape Kit 16by9",HYPERLINK("http://www.sapphireav.com/Sapphire-36m-Drapery-kit-for-SFFS365FR-WSF-or-SFFS365RP-WSF-in-Black_p_713.html","WebLink"),IF(D25="404-DRAPE Kit 16by10",HYPERLINK("http://www.sapphireav.com/Sapphire-4m-Drapery-kit-for-SFFS404FR10-or-SFFS404RP10-in-Black_p_717.html","WebLink"),IF(D25="404-DRAPE Kit 16by9",HYPERLINK("http://www.sapphireav.com/Sapphire-4m-Drapery-kit-for-SFFS404FR-WSF-or-SFFS404RP-WSF-in-Black_p_716.html","WebLink"),IF(D25="404-DRAPE Kit 4by3",HYPERLINK("http://www.sapphireav.com/Sapphire-4m-Drapery-kit-for-SFFS404FR-or-SFFS404RP-in-Black_p_715.html","WebLink"),IF(D25="305-DRAPE Kit 16BY10",HYPERLINK("http://www.sapphireav.com/Sapphire-3m-Drapery-kit-for-SFFS305FR10-or-SFFS305RP10-in-Black_p_711.html","WebLink"),IF(D25="STR",HYPERLINK("http://www.sapphireav.com/Sapphire-Auto-Trigger-System_p_16.html","WebLink"),IF(D25="Drape Kit 16by10",HYPERLINK("http://www.sapphireav.com/Sapphire-2m-Drapery-kit-for-SFFS203FR10-or-SFFS203RP10-in-Black_p_704.html","WebLink"),""))))))))))))))))</f>
        <v>WebLink</v>
      </c>
      <c r="E26" s="64" t="str">
        <f t="shared" si="5"/>
        <v>WebLink</v>
      </c>
      <c r="F26" s="64" t="str">
        <f t="shared" si="5"/>
        <v/>
      </c>
      <c r="G26" s="64" t="str">
        <f t="shared" si="5"/>
        <v/>
      </c>
      <c r="H26" s="41"/>
      <c r="I26" s="41"/>
    </row>
    <row r="27" spans="2:267" x14ac:dyDescent="0.35">
      <c r="B27" s="72" t="s">
        <v>672</v>
      </c>
      <c r="C27" s="64" t="str">
        <f>IF(RIGHT(C7,3)="ATR","IP Control box",IF(LEFT(C7,5)="SETTS","IP Control box",IF(LEFT(C7,4)="SETC","IP Control box",IF(RIGHT(C7,5)="ATR10","IP Control box",IF(LEFT(C7,5)="SEWS4","IP Control box",IF(LEFT(C7,8)="SEWS180R","IP Control box",IF(LEFT(C7,5)="SEWS3","IP Control box",IF(LEFT(C7,8)="SEWS200R","IP Control box",IF(RIGHT(C7,5)="ATRAC","IP Control box",IF(LEFT(C7,4)="SESC","IP Control box"," "))))))))))</f>
        <v>IP Control box</v>
      </c>
      <c r="D27" s="64" t="str">
        <f>IF(RIGHT(D7,3)="ATR","IP Control box",IF(LEFT(D7,5)="SETTS","IP Control box",IF(LEFT(D7,4)="SETC","IP Control box",IF(RIGHT(D7,5)="ATR10","IP Control box",IF(LEFT(D7,5)="SEWS4","IP Control box",IF(LEFT(D7,8)="SEWS180R","IP Control box",IF(LEFT(D7,5)="SEWS3","IP Control box",IF(LEFT(D7,8)="SEWS200R","IP Control box",IF(RIGHT(D7,5)="ATRAC","IP Control box",IF(LEFT(D7,4)="SESC","IP Control box"," "))))))))))</f>
        <v>IP Control box</v>
      </c>
      <c r="E27" t="str">
        <f>IF(RIGHT(E7,3)="ATR","IP Control box",IF(LEFT(E7,5)="SETTS","IP Control box",IF(LEFT(E7,4)="SETC","IP Control box",IF(RIGHT(E7,5)="ATR10","IP Control box",IF(LEFT(E7,5)="SEWS4","IP Control box",IF(LEFT(E7,8)="SEWS180R","IP Control box",IF(LEFT(E7,5)="SEWS3","IP Control box",IF(LEFT(E7,8)="SEWS200R","IP Control box",IF(RIGHT(E7,5)="ATRAC","IP Control box",IF(LEFT(E7,4)="SESC","IP Control box"," "))))))))))</f>
        <v>IP Control box</v>
      </c>
      <c r="F27" t="str">
        <f>IF(RIGHT(F1,3)="ATR","IP Control box",IF(LEFT(F1,5)="SETTS","IP Control box",IF(LEFT(F1,4)="SETC","IP Control box",IF(RIGHT(F1,5)="ATR10","IP Control box",IF(LEFT(F1,5)="SEWS4","IP Control box",IF(LEFT(F1,8)="SEWS180R","IP Control box",IF(LEFT(F1,5)="SEWS3","IP Control box",IF(LEFT(F1,8)="SEWS200R","IP Control box",IF(RIGHT(F1,5)="ATRAC","IP Control box",IF(LEFT(F1,4)="SESC","IP Control box"," "))))))))))</f>
        <v xml:space="preserve"> </v>
      </c>
      <c r="G27" t="str">
        <f>IF(RIGHT(G7,3)="ATR","IP Control box",IF(LEFT(G7,5)="SETTS","IP Control box",IF(LEFT(G7,4)="SETC","IP Control box",IF(RIGHT(G7,5)="ATR10","IP Control box",IF(LEFT(G7,5)="SEWS4","IP Control box",IF(LEFT(G7,8)="SEWS180R","IP Control box",IF(LEFT(G7,5)="SEWS3","IP Control box",IF(LEFT(G7,8)="SEWS200R","IP Control box",IF(RIGHT(G7,5)="ATRAC","IP Control box",IF(LEFT(G7,4)="SESC","IP Control box",""))))))))))</f>
        <v/>
      </c>
      <c r="H27" s="41"/>
      <c r="I27" s="41"/>
    </row>
    <row r="28" spans="2:267" x14ac:dyDescent="0.35">
      <c r="B28" s="55" t="s">
        <v>660</v>
      </c>
      <c r="C28" s="64" t="str">
        <f>IF(C27="IP Control Box",HYPERLINK("http://www.sapphireav.com/Sapphire-IP-Control-Box_p_660.html","WebLink"),"")</f>
        <v>WebLink</v>
      </c>
      <c r="D28" s="64" t="str">
        <f>IF(D27="IP Control Box",HYPERLINK("http://www.sapphireav.com/Sapphire-IP-Control-Box_p_660.html","WebLink"),"")</f>
        <v>WebLink</v>
      </c>
      <c r="E28" s="64" t="str">
        <f>IF(E27="IP Control Box",HYPERLINK("http://www.sapphireav.com/Sapphire-IP-Control-Box_p_660.html","WebLink"),"")</f>
        <v>WebLink</v>
      </c>
      <c r="F28" s="64" t="str">
        <f>IF(F27="IP Control Box",HYPERLINK("http://www.sapphireav.com/Sapphire-IP-Control-Box_p_660.html","WebLink"),"")</f>
        <v/>
      </c>
      <c r="G28" s="64" t="str">
        <f>IF(G27="IP Control Box",HYPERLINK("http://www.sapphireav.com/Sapphire-IP-Control-Box_p_660.html","WebLink"),"")</f>
        <v/>
      </c>
      <c r="H28" s="41"/>
      <c r="I28" s="45"/>
      <c r="AA28" s="30"/>
    </row>
    <row r="29" spans="2:267" x14ac:dyDescent="0.35">
      <c r="C29" s="6"/>
      <c r="E29" s="6"/>
      <c r="H29" s="41"/>
      <c r="I29" s="45"/>
      <c r="AA29" s="30"/>
    </row>
    <row r="30" spans="2:267" x14ac:dyDescent="0.35">
      <c r="B30" s="78" t="s">
        <v>679</v>
      </c>
      <c r="C30" s="79"/>
      <c r="D30" s="79"/>
      <c r="H30" s="41"/>
      <c r="I30" s="45"/>
      <c r="AA30" s="30"/>
    </row>
    <row r="31" spans="2:267" x14ac:dyDescent="0.35">
      <c r="B31" s="77" t="s">
        <v>680</v>
      </c>
      <c r="C31" t="s">
        <v>681</v>
      </c>
      <c r="D31" s="81" t="str">
        <f>HYPERLINK("skype://sapphireav")</f>
        <v>skype://sapphireav</v>
      </c>
      <c r="H31" s="41"/>
      <c r="I31" s="45"/>
      <c r="AA31" s="24"/>
    </row>
    <row r="32" spans="2:267" x14ac:dyDescent="0.35">
      <c r="C32" s="82"/>
      <c r="H32" s="41"/>
      <c r="I32" s="45"/>
      <c r="AA32" s="24"/>
    </row>
    <row r="33" spans="2:27" x14ac:dyDescent="0.35">
      <c r="B33" s="77"/>
      <c r="C33" s="76"/>
      <c r="D33" s="81"/>
      <c r="F33" s="6"/>
      <c r="H33" s="41"/>
      <c r="I33" s="45"/>
      <c r="AA33" s="24"/>
    </row>
    <row r="34" spans="2:27" x14ac:dyDescent="0.35">
      <c r="C34" s="82"/>
      <c r="H34" s="41"/>
      <c r="I34" s="45"/>
      <c r="AA34" s="24"/>
    </row>
    <row r="35" spans="2:27" x14ac:dyDescent="0.35">
      <c r="H35" s="41"/>
      <c r="I35" s="45"/>
      <c r="AA35" s="24"/>
    </row>
    <row r="36" spans="2:27" x14ac:dyDescent="0.35">
      <c r="H36" s="41"/>
      <c r="I36" s="45"/>
      <c r="AA36" s="24"/>
    </row>
    <row r="37" spans="2:27" x14ac:dyDescent="0.35">
      <c r="H37" s="41"/>
      <c r="I37" s="45"/>
      <c r="AA37" s="24"/>
    </row>
    <row r="38" spans="2:27" x14ac:dyDescent="0.35">
      <c r="H38" s="41"/>
      <c r="I38" s="45"/>
      <c r="AA38" s="24"/>
    </row>
    <row r="39" spans="2:27" x14ac:dyDescent="0.35">
      <c r="H39" s="41"/>
      <c r="I39" s="45"/>
      <c r="AA39" s="24"/>
    </row>
    <row r="40" spans="2:27" x14ac:dyDescent="0.35">
      <c r="H40" s="41"/>
      <c r="I40" s="45"/>
      <c r="AA40" s="24"/>
    </row>
    <row r="41" spans="2:27" x14ac:dyDescent="0.35">
      <c r="H41" s="41"/>
      <c r="I41" s="45"/>
      <c r="AA41" s="30"/>
    </row>
    <row r="42" spans="2:27" x14ac:dyDescent="0.35">
      <c r="H42" s="41"/>
      <c r="I42" s="45"/>
      <c r="AA42" s="30"/>
    </row>
    <row r="43" spans="2:27" x14ac:dyDescent="0.35">
      <c r="H43" s="41"/>
      <c r="I43" s="45"/>
      <c r="AA43" s="30"/>
    </row>
    <row r="44" spans="2:27" x14ac:dyDescent="0.35">
      <c r="H44" s="41"/>
      <c r="I44" s="45"/>
      <c r="AA44" s="30"/>
    </row>
    <row r="45" spans="2:27" x14ac:dyDescent="0.35">
      <c r="H45" s="41"/>
      <c r="I45" s="45"/>
      <c r="AA45" s="30"/>
    </row>
    <row r="46" spans="2:27" x14ac:dyDescent="0.35">
      <c r="H46" s="41"/>
      <c r="I46" s="45"/>
      <c r="AA46" s="30"/>
    </row>
    <row r="47" spans="2:27" x14ac:dyDescent="0.35">
      <c r="H47" s="41"/>
      <c r="I47" s="45"/>
      <c r="AA47" s="30"/>
    </row>
    <row r="48" spans="2:27" x14ac:dyDescent="0.35">
      <c r="H48" s="41"/>
      <c r="I48" s="45"/>
      <c r="AA48" s="30"/>
    </row>
    <row r="49" spans="8:27" x14ac:dyDescent="0.35">
      <c r="H49" s="41"/>
      <c r="I49" s="45"/>
      <c r="AA49" s="30"/>
    </row>
    <row r="50" spans="8:27" x14ac:dyDescent="0.35">
      <c r="H50" s="41"/>
      <c r="I50" s="45"/>
      <c r="AA50" s="30"/>
    </row>
    <row r="51" spans="8:27" x14ac:dyDescent="0.35">
      <c r="H51" s="41"/>
      <c r="I51" s="45"/>
      <c r="AA51" s="30"/>
    </row>
    <row r="52" spans="8:27" x14ac:dyDescent="0.35">
      <c r="H52" s="41"/>
      <c r="I52" s="45"/>
      <c r="AA52" s="30">
        <v>1</v>
      </c>
    </row>
    <row r="53" spans="8:27" x14ac:dyDescent="0.35">
      <c r="H53" s="41"/>
      <c r="I53" s="45"/>
      <c r="AA53" s="30">
        <v>18</v>
      </c>
    </row>
    <row r="54" spans="8:27" x14ac:dyDescent="0.35">
      <c r="H54" s="41"/>
      <c r="I54" s="45"/>
      <c r="AA54" s="30">
        <v>11</v>
      </c>
    </row>
    <row r="55" spans="8:27" x14ac:dyDescent="0.35">
      <c r="H55" s="41"/>
      <c r="I55" s="45"/>
      <c r="AA55" s="30">
        <v>3</v>
      </c>
    </row>
    <row r="56" spans="8:27" x14ac:dyDescent="0.35">
      <c r="H56" s="41"/>
      <c r="I56" s="45"/>
      <c r="AA56" s="30">
        <v>1</v>
      </c>
    </row>
    <row r="57" spans="8:27" x14ac:dyDescent="0.35">
      <c r="H57" s="41"/>
      <c r="I57" s="45"/>
      <c r="AA57" s="30">
        <v>5</v>
      </c>
    </row>
    <row r="58" spans="8:27" x14ac:dyDescent="0.35">
      <c r="H58" s="41"/>
      <c r="I58" s="45"/>
      <c r="AA58" s="30">
        <v>12</v>
      </c>
    </row>
    <row r="59" spans="8:27" x14ac:dyDescent="0.35">
      <c r="H59" s="41"/>
      <c r="I59" s="45"/>
      <c r="AA59" s="30">
        <v>1</v>
      </c>
    </row>
    <row r="60" spans="8:27" x14ac:dyDescent="0.35">
      <c r="H60" s="41"/>
      <c r="I60" s="45"/>
      <c r="AA60" s="30">
        <v>2</v>
      </c>
    </row>
    <row r="61" spans="8:27" x14ac:dyDescent="0.35">
      <c r="H61" s="41"/>
      <c r="I61" s="45"/>
      <c r="AA61" s="30">
        <v>6</v>
      </c>
    </row>
    <row r="62" spans="8:27" x14ac:dyDescent="0.35">
      <c r="H62" s="41"/>
      <c r="I62" s="45"/>
      <c r="AA62" s="30">
        <v>2</v>
      </c>
    </row>
    <row r="63" spans="8:27" x14ac:dyDescent="0.35">
      <c r="H63" s="41"/>
      <c r="I63" s="45"/>
      <c r="AA63" s="30">
        <v>0</v>
      </c>
    </row>
    <row r="64" spans="8:27" x14ac:dyDescent="0.35">
      <c r="H64" s="41"/>
      <c r="I64" s="45"/>
      <c r="AA64" s="30">
        <v>1</v>
      </c>
    </row>
    <row r="65" spans="8:27" x14ac:dyDescent="0.35">
      <c r="H65" s="41"/>
      <c r="I65" s="45"/>
      <c r="AA65" s="30">
        <v>0</v>
      </c>
    </row>
    <row r="66" spans="8:27" x14ac:dyDescent="0.35">
      <c r="H66" s="41"/>
      <c r="I66" s="45"/>
      <c r="AA66" s="30">
        <v>2</v>
      </c>
    </row>
    <row r="67" spans="8:27" x14ac:dyDescent="0.35">
      <c r="H67" s="41"/>
      <c r="I67" s="45"/>
      <c r="AA67" s="30">
        <v>2</v>
      </c>
    </row>
    <row r="68" spans="8:27" x14ac:dyDescent="0.35">
      <c r="H68" s="41"/>
      <c r="I68" s="45"/>
      <c r="AA68" s="30">
        <v>14</v>
      </c>
    </row>
    <row r="69" spans="8:27" x14ac:dyDescent="0.35">
      <c r="H69" s="41"/>
      <c r="I69" s="45"/>
      <c r="AA69" s="30">
        <v>5</v>
      </c>
    </row>
    <row r="70" spans="8:27" x14ac:dyDescent="0.35">
      <c r="H70" s="41"/>
      <c r="I70" s="45"/>
      <c r="AA70" s="30">
        <v>2</v>
      </c>
    </row>
    <row r="71" spans="8:27" x14ac:dyDescent="0.35">
      <c r="H71" s="41"/>
      <c r="I71" s="45"/>
      <c r="AA71" s="30">
        <v>2</v>
      </c>
    </row>
    <row r="72" spans="8:27" x14ac:dyDescent="0.35">
      <c r="H72" s="41"/>
      <c r="I72" s="45"/>
      <c r="AA72" s="30">
        <v>2</v>
      </c>
    </row>
    <row r="73" spans="8:27" x14ac:dyDescent="0.35">
      <c r="H73" s="41"/>
      <c r="I73" s="45"/>
      <c r="AA73" s="30">
        <v>14</v>
      </c>
    </row>
    <row r="74" spans="8:27" x14ac:dyDescent="0.35">
      <c r="H74" s="41"/>
      <c r="I74" s="45"/>
      <c r="AA74" s="30">
        <v>12</v>
      </c>
    </row>
    <row r="75" spans="8:27" x14ac:dyDescent="0.35">
      <c r="H75" s="41"/>
      <c r="I75" s="45"/>
      <c r="AA75" s="30">
        <v>53</v>
      </c>
    </row>
    <row r="76" spans="8:27" x14ac:dyDescent="0.35">
      <c r="H76" s="41"/>
      <c r="I76" s="45"/>
      <c r="AA76" s="30">
        <v>16</v>
      </c>
    </row>
    <row r="77" spans="8:27" x14ac:dyDescent="0.35">
      <c r="H77" s="41"/>
      <c r="I77" s="45"/>
      <c r="AA77" s="30">
        <v>3</v>
      </c>
    </row>
    <row r="78" spans="8:27" x14ac:dyDescent="0.35">
      <c r="H78" s="41"/>
      <c r="I78" s="45"/>
      <c r="AA78" s="30">
        <v>2</v>
      </c>
    </row>
    <row r="79" spans="8:27" x14ac:dyDescent="0.35">
      <c r="H79" s="41"/>
      <c r="I79" s="45"/>
      <c r="AA79" s="30">
        <v>2</v>
      </c>
    </row>
    <row r="80" spans="8:27" x14ac:dyDescent="0.35">
      <c r="H80" s="41"/>
      <c r="I80" s="45"/>
      <c r="AA80" s="30">
        <v>2</v>
      </c>
    </row>
    <row r="81" spans="8:27" x14ac:dyDescent="0.35">
      <c r="H81" s="41"/>
      <c r="I81" s="45"/>
      <c r="AA81" s="30">
        <v>17</v>
      </c>
    </row>
    <row r="82" spans="8:27" x14ac:dyDescent="0.35">
      <c r="H82" s="41"/>
      <c r="I82" s="45"/>
      <c r="AA82" s="30">
        <v>71</v>
      </c>
    </row>
    <row r="83" spans="8:27" x14ac:dyDescent="0.35">
      <c r="H83" s="41"/>
      <c r="I83" s="45"/>
      <c r="AA83" s="30">
        <v>58</v>
      </c>
    </row>
    <row r="84" spans="8:27" x14ac:dyDescent="0.35">
      <c r="H84" s="41"/>
      <c r="I84" s="45"/>
      <c r="AA84" s="30">
        <v>3</v>
      </c>
    </row>
    <row r="85" spans="8:27" x14ac:dyDescent="0.35">
      <c r="H85" s="41"/>
      <c r="I85" s="45"/>
      <c r="AA85" s="30">
        <v>2</v>
      </c>
    </row>
    <row r="86" spans="8:27" x14ac:dyDescent="0.35">
      <c r="H86" s="41"/>
      <c r="I86" s="45"/>
      <c r="AA86" s="30">
        <v>2</v>
      </c>
    </row>
    <row r="87" spans="8:27" x14ac:dyDescent="0.35">
      <c r="H87" s="41"/>
      <c r="I87" s="45"/>
      <c r="AA87" s="30">
        <v>2</v>
      </c>
    </row>
    <row r="88" spans="8:27" x14ac:dyDescent="0.35">
      <c r="H88" s="41"/>
      <c r="I88" s="45"/>
      <c r="AA88" s="30">
        <v>12</v>
      </c>
    </row>
    <row r="89" spans="8:27" x14ac:dyDescent="0.35">
      <c r="H89" s="41"/>
      <c r="I89" s="45"/>
      <c r="AA89" s="30">
        <v>142</v>
      </c>
    </row>
    <row r="90" spans="8:27" x14ac:dyDescent="0.35">
      <c r="H90" s="41"/>
      <c r="I90" s="45"/>
      <c r="AA90" s="30">
        <v>79</v>
      </c>
    </row>
    <row r="91" spans="8:27" x14ac:dyDescent="0.35">
      <c r="H91" s="41"/>
      <c r="I91" s="45"/>
      <c r="AA91" s="30">
        <v>6</v>
      </c>
    </row>
    <row r="92" spans="8:27" x14ac:dyDescent="0.35">
      <c r="H92" s="41"/>
      <c r="I92" s="45"/>
      <c r="AA92" s="30">
        <v>2</v>
      </c>
    </row>
    <row r="93" spans="8:27" x14ac:dyDescent="0.35">
      <c r="H93" s="41"/>
      <c r="I93" s="45"/>
      <c r="AA93" s="30">
        <v>12</v>
      </c>
    </row>
    <row r="94" spans="8:27" x14ac:dyDescent="0.35">
      <c r="H94" s="41"/>
      <c r="I94" s="45"/>
      <c r="AA94" s="30">
        <v>50</v>
      </c>
    </row>
    <row r="95" spans="8:27" x14ac:dyDescent="0.35">
      <c r="H95" s="41"/>
      <c r="I95" s="45"/>
      <c r="AA95" s="30">
        <v>47</v>
      </c>
    </row>
    <row r="96" spans="8:27" x14ac:dyDescent="0.35">
      <c r="H96" s="41"/>
      <c r="I96" s="45"/>
      <c r="AA96" s="30">
        <v>0</v>
      </c>
    </row>
    <row r="97" spans="8:27" x14ac:dyDescent="0.35">
      <c r="H97" s="41"/>
      <c r="I97" s="45"/>
      <c r="AA97" s="30">
        <v>23</v>
      </c>
    </row>
    <row r="98" spans="8:27" x14ac:dyDescent="0.35">
      <c r="H98" s="41"/>
      <c r="I98" s="45"/>
      <c r="AA98" s="30">
        <v>5</v>
      </c>
    </row>
    <row r="99" spans="8:27" x14ac:dyDescent="0.35">
      <c r="H99" s="41"/>
      <c r="I99" s="45"/>
      <c r="AA99" s="30">
        <v>102</v>
      </c>
    </row>
    <row r="100" spans="8:27" x14ac:dyDescent="0.35">
      <c r="H100" s="41"/>
      <c r="I100" s="45"/>
      <c r="AA100" s="30">
        <v>13</v>
      </c>
    </row>
    <row r="101" spans="8:27" x14ac:dyDescent="0.35">
      <c r="H101" s="41"/>
      <c r="I101" s="45"/>
      <c r="AA101" s="30">
        <v>34</v>
      </c>
    </row>
    <row r="102" spans="8:27" x14ac:dyDescent="0.35">
      <c r="H102" s="41"/>
      <c r="I102" s="45"/>
      <c r="AA102" s="30">
        <v>21</v>
      </c>
    </row>
    <row r="103" spans="8:27" x14ac:dyDescent="0.35">
      <c r="H103" s="41"/>
      <c r="I103" s="45"/>
      <c r="AA103" s="30">
        <v>2</v>
      </c>
    </row>
    <row r="104" spans="8:27" x14ac:dyDescent="0.35">
      <c r="H104" s="41"/>
      <c r="I104" s="45"/>
      <c r="AA104" s="30">
        <v>11</v>
      </c>
    </row>
    <row r="105" spans="8:27" x14ac:dyDescent="0.35">
      <c r="H105" s="41"/>
      <c r="I105" s="45"/>
      <c r="AA105" s="30">
        <v>22</v>
      </c>
    </row>
    <row r="106" spans="8:27" x14ac:dyDescent="0.35">
      <c r="H106" s="41"/>
      <c r="I106" s="45"/>
      <c r="AA106" s="30">
        <v>11</v>
      </c>
    </row>
    <row r="107" spans="8:27" x14ac:dyDescent="0.35">
      <c r="H107" s="41"/>
      <c r="I107" s="45"/>
      <c r="AA107" s="30">
        <v>2</v>
      </c>
    </row>
    <row r="108" spans="8:27" x14ac:dyDescent="0.35">
      <c r="H108" s="41"/>
      <c r="I108" s="45"/>
      <c r="AA108" s="30">
        <v>3</v>
      </c>
    </row>
    <row r="109" spans="8:27" x14ac:dyDescent="0.35">
      <c r="H109" s="41"/>
      <c r="I109" s="45"/>
      <c r="AA109" s="30">
        <v>7</v>
      </c>
    </row>
    <row r="110" spans="8:27" x14ac:dyDescent="0.35">
      <c r="H110" s="41"/>
      <c r="I110" s="45"/>
      <c r="AA110" s="30">
        <v>6</v>
      </c>
    </row>
    <row r="111" spans="8:27" x14ac:dyDescent="0.35">
      <c r="H111" s="41"/>
      <c r="I111" s="45"/>
      <c r="AA111" s="30">
        <v>1</v>
      </c>
    </row>
    <row r="112" spans="8:27" x14ac:dyDescent="0.35">
      <c r="H112" s="41"/>
      <c r="I112" s="45"/>
      <c r="AA112" s="30">
        <v>4</v>
      </c>
    </row>
    <row r="113" spans="8:27" x14ac:dyDescent="0.35">
      <c r="H113" s="41"/>
      <c r="I113" s="45"/>
      <c r="AA113" s="30">
        <v>0</v>
      </c>
    </row>
    <row r="114" spans="8:27" x14ac:dyDescent="0.35">
      <c r="H114" s="41"/>
      <c r="I114" s="45"/>
      <c r="AA114" s="30">
        <v>0</v>
      </c>
    </row>
    <row r="115" spans="8:27" x14ac:dyDescent="0.35">
      <c r="H115" s="41"/>
      <c r="I115" s="45"/>
      <c r="AA115" s="30">
        <v>0</v>
      </c>
    </row>
    <row r="116" spans="8:27" x14ac:dyDescent="0.35">
      <c r="H116" s="41"/>
      <c r="I116" s="45"/>
      <c r="AA116" s="30">
        <v>0</v>
      </c>
    </row>
    <row r="117" spans="8:27" x14ac:dyDescent="0.35">
      <c r="H117" s="41"/>
      <c r="I117" s="45"/>
      <c r="AA117" s="30">
        <v>3</v>
      </c>
    </row>
    <row r="118" spans="8:27" x14ac:dyDescent="0.35">
      <c r="H118" s="41"/>
      <c r="I118" s="45"/>
      <c r="AA118" s="30">
        <v>4</v>
      </c>
    </row>
    <row r="119" spans="8:27" x14ac:dyDescent="0.35">
      <c r="H119" s="41"/>
      <c r="I119" s="45"/>
      <c r="AA119" s="30">
        <v>0</v>
      </c>
    </row>
    <row r="120" spans="8:27" x14ac:dyDescent="0.35">
      <c r="H120" s="41"/>
      <c r="I120" s="45"/>
      <c r="AA120" s="30">
        <v>5</v>
      </c>
    </row>
    <row r="121" spans="8:27" x14ac:dyDescent="0.35">
      <c r="H121" s="41"/>
      <c r="I121" s="45"/>
      <c r="AA121" s="30">
        <v>5</v>
      </c>
    </row>
    <row r="122" spans="8:27" x14ac:dyDescent="0.35">
      <c r="H122" s="41"/>
      <c r="I122" s="45"/>
      <c r="AA122" s="30">
        <v>6</v>
      </c>
    </row>
    <row r="123" spans="8:27" x14ac:dyDescent="0.35">
      <c r="H123" s="41"/>
      <c r="I123" s="45"/>
      <c r="AA123" s="30">
        <v>2</v>
      </c>
    </row>
    <row r="124" spans="8:27" x14ac:dyDescent="0.35">
      <c r="H124" s="41"/>
      <c r="I124" s="45"/>
      <c r="AA124" s="30">
        <v>0</v>
      </c>
    </row>
    <row r="125" spans="8:27" x14ac:dyDescent="0.35">
      <c r="H125" s="41"/>
      <c r="I125" s="45"/>
      <c r="AA125" s="30">
        <v>0</v>
      </c>
    </row>
    <row r="126" spans="8:27" x14ac:dyDescent="0.35">
      <c r="H126" s="41"/>
      <c r="I126" s="45"/>
      <c r="AA126" s="30">
        <v>2</v>
      </c>
    </row>
    <row r="127" spans="8:27" x14ac:dyDescent="0.35">
      <c r="H127" s="41"/>
      <c r="I127" s="45"/>
      <c r="AA127" s="30">
        <v>2</v>
      </c>
    </row>
    <row r="128" spans="8:27" x14ac:dyDescent="0.35">
      <c r="H128" s="41"/>
      <c r="I128" s="45"/>
      <c r="AA128" s="30">
        <v>2</v>
      </c>
    </row>
    <row r="129" spans="8:27" x14ac:dyDescent="0.35">
      <c r="H129" s="41"/>
      <c r="I129" s="45"/>
      <c r="AA129" s="30">
        <v>3</v>
      </c>
    </row>
    <row r="130" spans="8:27" x14ac:dyDescent="0.35">
      <c r="H130" s="41"/>
      <c r="I130" s="45"/>
      <c r="AA130" s="30">
        <v>0</v>
      </c>
    </row>
    <row r="131" spans="8:27" x14ac:dyDescent="0.35">
      <c r="H131" s="41"/>
      <c r="I131" s="45"/>
      <c r="AA131" s="30">
        <v>1</v>
      </c>
    </row>
    <row r="132" spans="8:27" x14ac:dyDescent="0.35">
      <c r="H132" s="41"/>
      <c r="I132" s="45"/>
      <c r="AA132" s="30">
        <v>5</v>
      </c>
    </row>
    <row r="133" spans="8:27" x14ac:dyDescent="0.35">
      <c r="H133" s="41"/>
      <c r="I133" s="45"/>
      <c r="AA133" s="30">
        <v>0</v>
      </c>
    </row>
    <row r="134" spans="8:27" x14ac:dyDescent="0.35">
      <c r="H134" s="41"/>
      <c r="I134" s="45"/>
      <c r="AA134" s="30">
        <v>0</v>
      </c>
    </row>
    <row r="135" spans="8:27" x14ac:dyDescent="0.35">
      <c r="H135" s="41"/>
      <c r="I135" s="45"/>
      <c r="AA135" s="30">
        <v>1</v>
      </c>
    </row>
    <row r="136" spans="8:27" x14ac:dyDescent="0.35">
      <c r="H136" s="41"/>
      <c r="I136" s="45"/>
      <c r="AA136" s="30">
        <v>1</v>
      </c>
    </row>
    <row r="137" spans="8:27" x14ac:dyDescent="0.35">
      <c r="H137" s="41"/>
      <c r="I137" s="45"/>
      <c r="AA137" s="30">
        <v>4</v>
      </c>
    </row>
    <row r="138" spans="8:27" x14ac:dyDescent="0.35">
      <c r="H138" s="41"/>
      <c r="I138" s="45"/>
      <c r="AA138" s="30">
        <v>0</v>
      </c>
    </row>
    <row r="139" spans="8:27" x14ac:dyDescent="0.35">
      <c r="H139" s="41"/>
      <c r="I139" s="45"/>
      <c r="AA139" s="30">
        <v>3</v>
      </c>
    </row>
    <row r="140" spans="8:27" x14ac:dyDescent="0.35">
      <c r="H140" s="41"/>
      <c r="I140" s="45"/>
      <c r="AA140" s="30">
        <v>0</v>
      </c>
    </row>
    <row r="141" spans="8:27" x14ac:dyDescent="0.35">
      <c r="H141" s="41"/>
      <c r="I141" s="45"/>
      <c r="AA141" s="30">
        <v>6</v>
      </c>
    </row>
    <row r="142" spans="8:27" x14ac:dyDescent="0.35">
      <c r="H142" s="41"/>
      <c r="I142" s="45"/>
      <c r="AA142" s="30">
        <v>1</v>
      </c>
    </row>
    <row r="143" spans="8:27" x14ac:dyDescent="0.35">
      <c r="H143" s="41"/>
      <c r="I143" s="45"/>
      <c r="AA143" s="30">
        <v>1</v>
      </c>
    </row>
    <row r="144" spans="8:27" x14ac:dyDescent="0.35">
      <c r="H144" s="41"/>
      <c r="I144" s="45"/>
      <c r="AA144" s="30">
        <v>0</v>
      </c>
    </row>
    <row r="145" spans="8:27" x14ac:dyDescent="0.35">
      <c r="H145" s="41"/>
      <c r="I145" s="45"/>
      <c r="AA145" s="30">
        <v>3</v>
      </c>
    </row>
    <row r="146" spans="8:27" x14ac:dyDescent="0.35">
      <c r="H146" s="41"/>
      <c r="I146" s="45"/>
      <c r="AA146" s="30">
        <v>12</v>
      </c>
    </row>
    <row r="147" spans="8:27" x14ac:dyDescent="0.35">
      <c r="H147" s="41"/>
      <c r="I147" s="45"/>
      <c r="AA147" s="30">
        <v>6</v>
      </c>
    </row>
    <row r="148" spans="8:27" x14ac:dyDescent="0.35">
      <c r="H148" s="41"/>
      <c r="I148" s="45"/>
      <c r="AA148" s="30">
        <v>1</v>
      </c>
    </row>
    <row r="149" spans="8:27" x14ac:dyDescent="0.35">
      <c r="H149" s="41"/>
      <c r="I149" s="45"/>
      <c r="AA149" s="30">
        <v>0</v>
      </c>
    </row>
    <row r="150" spans="8:27" x14ac:dyDescent="0.35">
      <c r="H150" s="41"/>
      <c r="I150" s="45"/>
      <c r="AA150" s="30">
        <v>5</v>
      </c>
    </row>
    <row r="151" spans="8:27" x14ac:dyDescent="0.35">
      <c r="H151" s="41"/>
      <c r="I151" s="45"/>
      <c r="AA151" s="30">
        <v>1</v>
      </c>
    </row>
    <row r="152" spans="8:27" x14ac:dyDescent="0.35">
      <c r="H152" s="41"/>
      <c r="I152" s="45"/>
      <c r="AA152" s="30">
        <v>1</v>
      </c>
    </row>
    <row r="153" spans="8:27" x14ac:dyDescent="0.35">
      <c r="H153" s="41"/>
      <c r="I153" s="45"/>
      <c r="AA153" s="30">
        <v>5</v>
      </c>
    </row>
    <row r="154" spans="8:27" x14ac:dyDescent="0.35">
      <c r="H154" s="41"/>
      <c r="I154" s="45"/>
      <c r="AA154" s="30">
        <v>0</v>
      </c>
    </row>
    <row r="155" spans="8:27" x14ac:dyDescent="0.35">
      <c r="H155" s="41"/>
      <c r="I155" s="45"/>
      <c r="AA155" s="30">
        <v>0</v>
      </c>
    </row>
    <row r="156" spans="8:27" x14ac:dyDescent="0.35">
      <c r="H156" s="41"/>
      <c r="I156" s="45"/>
      <c r="AA156" s="30">
        <v>2</v>
      </c>
    </row>
    <row r="157" spans="8:27" x14ac:dyDescent="0.35">
      <c r="H157" s="41"/>
      <c r="I157" s="45"/>
      <c r="AA157" s="30">
        <v>4</v>
      </c>
    </row>
    <row r="158" spans="8:27" x14ac:dyDescent="0.35">
      <c r="H158" s="41"/>
      <c r="I158" s="45"/>
      <c r="AA158" s="30">
        <v>1</v>
      </c>
    </row>
    <row r="159" spans="8:27" x14ac:dyDescent="0.35">
      <c r="H159" s="41"/>
      <c r="I159" s="45"/>
      <c r="AA159" s="30">
        <v>3</v>
      </c>
    </row>
    <row r="160" spans="8:27" x14ac:dyDescent="0.35">
      <c r="H160" s="41"/>
      <c r="I160" s="45"/>
      <c r="AA160" s="30">
        <v>0</v>
      </c>
    </row>
    <row r="161" spans="8:27" x14ac:dyDescent="0.35">
      <c r="H161" s="41"/>
      <c r="I161" s="45"/>
      <c r="AA161" s="30">
        <v>1</v>
      </c>
    </row>
    <row r="162" spans="8:27" x14ac:dyDescent="0.35">
      <c r="H162" s="41"/>
      <c r="I162" s="45"/>
      <c r="AA162" s="30">
        <v>4</v>
      </c>
    </row>
    <row r="163" spans="8:27" x14ac:dyDescent="0.35">
      <c r="H163" s="41"/>
      <c r="I163" s="45"/>
      <c r="AA163" s="30">
        <v>2</v>
      </c>
    </row>
    <row r="164" spans="8:27" x14ac:dyDescent="0.35">
      <c r="H164" s="41"/>
      <c r="I164" s="45"/>
      <c r="AA164" s="30">
        <v>2</v>
      </c>
    </row>
    <row r="165" spans="8:27" x14ac:dyDescent="0.35">
      <c r="H165" s="41"/>
      <c r="I165" s="45"/>
      <c r="AA165" s="30">
        <v>3</v>
      </c>
    </row>
    <row r="166" spans="8:27" x14ac:dyDescent="0.35">
      <c r="H166" s="41"/>
      <c r="I166" s="45"/>
      <c r="AA166" s="30">
        <v>6</v>
      </c>
    </row>
    <row r="167" spans="8:27" x14ac:dyDescent="0.35">
      <c r="H167" s="41"/>
      <c r="I167" s="45"/>
      <c r="AA167" s="30">
        <v>0</v>
      </c>
    </row>
    <row r="168" spans="8:27" x14ac:dyDescent="0.35">
      <c r="H168" s="41"/>
      <c r="I168" s="45"/>
      <c r="AA168" s="30">
        <v>2</v>
      </c>
    </row>
    <row r="169" spans="8:27" x14ac:dyDescent="0.35">
      <c r="H169" s="41"/>
      <c r="I169" s="45"/>
      <c r="AA169" s="30">
        <v>3</v>
      </c>
    </row>
    <row r="170" spans="8:27" x14ac:dyDescent="0.35">
      <c r="H170" s="41"/>
      <c r="I170" s="45"/>
      <c r="AA170" s="30">
        <v>0</v>
      </c>
    </row>
    <row r="171" spans="8:27" x14ac:dyDescent="0.35">
      <c r="H171" s="41"/>
      <c r="I171" s="45"/>
      <c r="AA171" s="30">
        <v>0</v>
      </c>
    </row>
    <row r="172" spans="8:27" x14ac:dyDescent="0.35">
      <c r="H172" s="41"/>
      <c r="I172" s="45"/>
      <c r="AA172" s="30">
        <v>0</v>
      </c>
    </row>
    <row r="173" spans="8:27" x14ac:dyDescent="0.35">
      <c r="H173" s="41"/>
      <c r="I173" s="45"/>
      <c r="AA173" s="30">
        <v>0</v>
      </c>
    </row>
    <row r="174" spans="8:27" x14ac:dyDescent="0.35">
      <c r="H174" s="41"/>
      <c r="I174" s="45"/>
      <c r="AA174" s="30">
        <v>0</v>
      </c>
    </row>
    <row r="175" spans="8:27" x14ac:dyDescent="0.35">
      <c r="H175" s="41"/>
      <c r="I175" s="45"/>
      <c r="AA175" s="30">
        <v>0</v>
      </c>
    </row>
    <row r="176" spans="8:27" x14ac:dyDescent="0.35">
      <c r="H176" s="41"/>
      <c r="I176" s="45"/>
      <c r="AA176" s="30">
        <v>0</v>
      </c>
    </row>
    <row r="177" spans="8:27" x14ac:dyDescent="0.35">
      <c r="H177" s="41"/>
      <c r="I177" s="45"/>
      <c r="AA177" s="30">
        <v>0</v>
      </c>
    </row>
    <row r="178" spans="8:27" x14ac:dyDescent="0.35">
      <c r="H178" s="41"/>
      <c r="I178" s="45"/>
      <c r="AA178" s="30">
        <v>1</v>
      </c>
    </row>
    <row r="179" spans="8:27" x14ac:dyDescent="0.35">
      <c r="H179" s="41"/>
      <c r="I179" s="45"/>
      <c r="AA179" s="30">
        <v>1</v>
      </c>
    </row>
    <row r="180" spans="8:27" x14ac:dyDescent="0.35">
      <c r="H180" s="41"/>
      <c r="I180" s="45"/>
      <c r="AA180" s="30">
        <v>0</v>
      </c>
    </row>
    <row r="181" spans="8:27" x14ac:dyDescent="0.35">
      <c r="H181" s="41"/>
      <c r="I181" s="45"/>
      <c r="AA181" s="30">
        <v>18</v>
      </c>
    </row>
    <row r="182" spans="8:27" x14ac:dyDescent="0.35">
      <c r="H182" s="41"/>
      <c r="I182" s="45"/>
      <c r="AA182" s="30">
        <v>0</v>
      </c>
    </row>
    <row r="183" spans="8:27" x14ac:dyDescent="0.35">
      <c r="H183" s="41"/>
      <c r="I183" s="45"/>
      <c r="AA183" s="30">
        <v>6</v>
      </c>
    </row>
    <row r="184" spans="8:27" x14ac:dyDescent="0.35">
      <c r="H184" s="41"/>
      <c r="I184" s="45"/>
      <c r="AA184" s="30">
        <v>0</v>
      </c>
    </row>
    <row r="185" spans="8:27" x14ac:dyDescent="0.35">
      <c r="H185" s="41"/>
      <c r="I185" s="45"/>
      <c r="AA185" s="30">
        <v>15</v>
      </c>
    </row>
    <row r="186" spans="8:27" x14ac:dyDescent="0.35">
      <c r="H186" s="41"/>
      <c r="I186" s="45"/>
      <c r="AA186" s="30">
        <v>1</v>
      </c>
    </row>
    <row r="187" spans="8:27" x14ac:dyDescent="0.35">
      <c r="H187" s="41"/>
      <c r="I187" s="45"/>
      <c r="AA187" s="30">
        <v>15</v>
      </c>
    </row>
    <row r="188" spans="8:27" x14ac:dyDescent="0.35">
      <c r="H188" s="41"/>
      <c r="I188" s="45"/>
      <c r="AA188" s="30">
        <v>9</v>
      </c>
    </row>
    <row r="189" spans="8:27" x14ac:dyDescent="0.35">
      <c r="H189" s="41"/>
      <c r="I189" s="45"/>
      <c r="AA189" s="30">
        <v>5</v>
      </c>
    </row>
    <row r="190" spans="8:27" x14ac:dyDescent="0.35">
      <c r="H190" s="41"/>
      <c r="I190" s="45"/>
      <c r="AA190" s="30">
        <v>13</v>
      </c>
    </row>
    <row r="191" spans="8:27" x14ac:dyDescent="0.35">
      <c r="H191" s="41"/>
      <c r="I191" s="45"/>
      <c r="AA191" s="30">
        <v>7</v>
      </c>
    </row>
    <row r="192" spans="8:27" x14ac:dyDescent="0.35">
      <c r="H192" s="41"/>
      <c r="I192" s="45"/>
      <c r="AA192" s="30">
        <v>25</v>
      </c>
    </row>
    <row r="193" spans="8:27" x14ac:dyDescent="0.35">
      <c r="H193" s="41"/>
      <c r="I193" s="45"/>
      <c r="AA193" s="30">
        <v>19</v>
      </c>
    </row>
    <row r="194" spans="8:27" x14ac:dyDescent="0.35">
      <c r="H194" s="41"/>
      <c r="I194" s="45"/>
      <c r="AA194" s="30">
        <v>1</v>
      </c>
    </row>
    <row r="195" spans="8:27" x14ac:dyDescent="0.35">
      <c r="H195" s="41"/>
      <c r="I195" s="45"/>
      <c r="AA195" s="30">
        <v>2</v>
      </c>
    </row>
    <row r="196" spans="8:27" x14ac:dyDescent="0.35">
      <c r="H196" s="41"/>
      <c r="I196" s="45"/>
      <c r="AA196" s="30">
        <v>1</v>
      </c>
    </row>
    <row r="197" spans="8:27" x14ac:dyDescent="0.35">
      <c r="H197" s="41"/>
      <c r="I197" s="45"/>
      <c r="AA197" s="30">
        <v>15</v>
      </c>
    </row>
    <row r="198" spans="8:27" x14ac:dyDescent="0.35">
      <c r="H198" s="41"/>
      <c r="I198" s="45"/>
      <c r="AA198" s="30">
        <v>25</v>
      </c>
    </row>
    <row r="199" spans="8:27" x14ac:dyDescent="0.35">
      <c r="H199" s="41"/>
      <c r="I199" s="45"/>
      <c r="AA199" s="30">
        <v>2</v>
      </c>
    </row>
    <row r="200" spans="8:27" x14ac:dyDescent="0.35">
      <c r="H200" s="41"/>
      <c r="I200" s="45"/>
      <c r="AA200" s="30">
        <v>10</v>
      </c>
    </row>
    <row r="201" spans="8:27" x14ac:dyDescent="0.35">
      <c r="H201" s="41"/>
      <c r="I201" s="45"/>
      <c r="AA201" s="30">
        <v>26</v>
      </c>
    </row>
    <row r="202" spans="8:27" x14ac:dyDescent="0.35">
      <c r="H202" s="41"/>
      <c r="I202" s="45"/>
      <c r="AA202" s="30">
        <v>7</v>
      </c>
    </row>
    <row r="203" spans="8:27" x14ac:dyDescent="0.35">
      <c r="H203" s="41"/>
      <c r="I203" s="45"/>
      <c r="AA203" s="30">
        <v>1</v>
      </c>
    </row>
    <row r="204" spans="8:27" x14ac:dyDescent="0.35">
      <c r="H204" s="41"/>
      <c r="I204" s="45"/>
      <c r="AA204" s="30">
        <v>4</v>
      </c>
    </row>
    <row r="205" spans="8:27" x14ac:dyDescent="0.35">
      <c r="H205" s="41"/>
      <c r="I205" s="45"/>
      <c r="AA205" s="30">
        <v>3</v>
      </c>
    </row>
    <row r="206" spans="8:27" x14ac:dyDescent="0.35">
      <c r="H206" s="41"/>
      <c r="I206" s="45"/>
      <c r="AA206" s="30">
        <v>88</v>
      </c>
    </row>
    <row r="207" spans="8:27" x14ac:dyDescent="0.35">
      <c r="H207" s="41"/>
      <c r="I207" s="45"/>
      <c r="AA207" s="30">
        <v>50</v>
      </c>
    </row>
    <row r="208" spans="8:27" x14ac:dyDescent="0.35">
      <c r="H208" s="41"/>
      <c r="I208" s="45"/>
      <c r="AA208" s="30">
        <v>40</v>
      </c>
    </row>
    <row r="209" spans="8:27" x14ac:dyDescent="0.35">
      <c r="H209" s="41"/>
      <c r="I209" s="45"/>
      <c r="AA209" s="30">
        <v>17</v>
      </c>
    </row>
    <row r="210" spans="8:27" x14ac:dyDescent="0.35">
      <c r="H210" s="41"/>
      <c r="I210" s="45"/>
      <c r="AA210" s="30">
        <v>21</v>
      </c>
    </row>
    <row r="211" spans="8:27" x14ac:dyDescent="0.35">
      <c r="H211" s="41"/>
      <c r="I211" s="45"/>
      <c r="AA211" s="30">
        <v>16</v>
      </c>
    </row>
    <row r="212" spans="8:27" x14ac:dyDescent="0.35">
      <c r="H212" s="41"/>
      <c r="I212" s="45"/>
      <c r="AA212" s="30">
        <v>13</v>
      </c>
    </row>
    <row r="213" spans="8:27" x14ac:dyDescent="0.35">
      <c r="H213" s="41"/>
      <c r="I213" s="45"/>
      <c r="AA213" s="30">
        <v>20</v>
      </c>
    </row>
    <row r="214" spans="8:27" x14ac:dyDescent="0.35">
      <c r="H214" s="41"/>
      <c r="I214" s="45"/>
      <c r="AA214" s="30">
        <v>30</v>
      </c>
    </row>
    <row r="215" spans="8:27" x14ac:dyDescent="0.35">
      <c r="H215" s="41"/>
      <c r="I215" s="45"/>
      <c r="AA215" s="30">
        <v>0</v>
      </c>
    </row>
    <row r="216" spans="8:27" x14ac:dyDescent="0.35">
      <c r="H216" s="41"/>
      <c r="I216" s="45"/>
      <c r="AA216" s="30">
        <v>9</v>
      </c>
    </row>
    <row r="217" spans="8:27" x14ac:dyDescent="0.35">
      <c r="H217" s="41"/>
      <c r="I217" s="45"/>
      <c r="AA217" s="30">
        <v>17</v>
      </c>
    </row>
    <row r="218" spans="8:27" x14ac:dyDescent="0.35">
      <c r="H218" s="41"/>
      <c r="I218" s="45"/>
      <c r="AA218" s="30">
        <v>0</v>
      </c>
    </row>
    <row r="219" spans="8:27" x14ac:dyDescent="0.35">
      <c r="H219" s="41"/>
      <c r="I219" s="45"/>
      <c r="AA219" s="30">
        <v>4</v>
      </c>
    </row>
    <row r="220" spans="8:27" x14ac:dyDescent="0.35">
      <c r="H220" s="41"/>
      <c r="I220" s="45"/>
      <c r="AA220" s="30">
        <v>0</v>
      </c>
    </row>
    <row r="221" spans="8:27" x14ac:dyDescent="0.35">
      <c r="H221" s="41"/>
      <c r="I221" s="45"/>
      <c r="AA221" s="30">
        <v>2</v>
      </c>
    </row>
    <row r="222" spans="8:27" x14ac:dyDescent="0.35">
      <c r="H222" s="41"/>
      <c r="I222" s="45"/>
      <c r="AA222" s="30">
        <v>0</v>
      </c>
    </row>
    <row r="223" spans="8:27" x14ac:dyDescent="0.35">
      <c r="H223" s="41"/>
      <c r="I223" s="45"/>
      <c r="AA223" s="30" t="s">
        <v>779</v>
      </c>
    </row>
    <row r="224" spans="8:27" x14ac:dyDescent="0.35">
      <c r="H224" s="41"/>
      <c r="I224" s="45"/>
      <c r="AA224" s="30">
        <v>0</v>
      </c>
    </row>
    <row r="225" spans="8:27" x14ac:dyDescent="0.35">
      <c r="H225" s="41"/>
      <c r="I225" s="45"/>
      <c r="AA225" s="30">
        <v>0</v>
      </c>
    </row>
    <row r="226" spans="8:27" x14ac:dyDescent="0.35">
      <c r="H226" s="41"/>
      <c r="I226" s="45"/>
      <c r="AA226" s="30">
        <v>8</v>
      </c>
    </row>
    <row r="227" spans="8:27" x14ac:dyDescent="0.35">
      <c r="H227" s="41"/>
      <c r="I227" s="45"/>
      <c r="AA227" s="30">
        <v>0</v>
      </c>
    </row>
    <row r="228" spans="8:27" x14ac:dyDescent="0.35">
      <c r="H228" s="41"/>
      <c r="I228" s="45"/>
      <c r="AA228" s="30">
        <v>2</v>
      </c>
    </row>
    <row r="229" spans="8:27" x14ac:dyDescent="0.35">
      <c r="H229" s="41"/>
      <c r="I229" s="45"/>
      <c r="AA229" s="30">
        <v>3</v>
      </c>
    </row>
    <row r="230" spans="8:27" x14ac:dyDescent="0.35">
      <c r="H230" s="41"/>
      <c r="I230" s="45"/>
      <c r="AA230" s="30">
        <v>3</v>
      </c>
    </row>
    <row r="231" spans="8:27" x14ac:dyDescent="0.35">
      <c r="H231" s="41"/>
      <c r="I231" s="45"/>
      <c r="AA231" s="30">
        <v>4</v>
      </c>
    </row>
    <row r="232" spans="8:27" x14ac:dyDescent="0.35">
      <c r="H232" s="41"/>
      <c r="I232" s="45"/>
      <c r="AA232" s="30">
        <v>4</v>
      </c>
    </row>
    <row r="233" spans="8:27" x14ac:dyDescent="0.35">
      <c r="H233" s="41"/>
      <c r="I233" s="45"/>
      <c r="AA233" s="30">
        <v>13</v>
      </c>
    </row>
    <row r="234" spans="8:27" x14ac:dyDescent="0.35">
      <c r="H234" s="41"/>
      <c r="I234" s="45"/>
      <c r="AA234" s="30">
        <v>6</v>
      </c>
    </row>
    <row r="235" spans="8:27" x14ac:dyDescent="0.35">
      <c r="H235" s="41"/>
      <c r="I235" s="45"/>
      <c r="AA235" s="30">
        <v>9</v>
      </c>
    </row>
    <row r="236" spans="8:27" x14ac:dyDescent="0.35">
      <c r="H236" s="41"/>
      <c r="I236" s="45"/>
      <c r="AA236" s="30">
        <v>14</v>
      </c>
    </row>
    <row r="237" spans="8:27" x14ac:dyDescent="0.35">
      <c r="H237" s="41"/>
      <c r="I237" s="45"/>
      <c r="AA237" s="30">
        <v>3</v>
      </c>
    </row>
    <row r="238" spans="8:27" x14ac:dyDescent="0.35">
      <c r="H238" s="41"/>
      <c r="I238" s="45"/>
      <c r="AA238" s="30">
        <v>0</v>
      </c>
    </row>
    <row r="239" spans="8:27" x14ac:dyDescent="0.35">
      <c r="H239" s="41"/>
      <c r="I239" s="45"/>
      <c r="AA239" s="30">
        <v>1</v>
      </c>
    </row>
    <row r="240" spans="8:27" x14ac:dyDescent="0.35">
      <c r="H240" s="41"/>
      <c r="I240" s="45"/>
      <c r="AA240" s="30">
        <v>5</v>
      </c>
    </row>
    <row r="241" spans="8:27" x14ac:dyDescent="0.35">
      <c r="H241" s="41"/>
      <c r="I241" s="45"/>
      <c r="AA241" s="30">
        <v>4</v>
      </c>
    </row>
    <row r="242" spans="8:27" x14ac:dyDescent="0.35">
      <c r="H242" s="41"/>
      <c r="I242" s="45"/>
      <c r="AA242" s="30">
        <v>1</v>
      </c>
    </row>
    <row r="243" spans="8:27" x14ac:dyDescent="0.35">
      <c r="H243" s="41"/>
      <c r="I243" s="45"/>
      <c r="AA243" s="30">
        <v>3</v>
      </c>
    </row>
    <row r="244" spans="8:27" x14ac:dyDescent="0.35">
      <c r="H244" s="41"/>
      <c r="I244" s="45"/>
      <c r="AA244" s="30">
        <v>3</v>
      </c>
    </row>
    <row r="245" spans="8:27" x14ac:dyDescent="0.35">
      <c r="H245" s="41"/>
      <c r="I245" s="45"/>
      <c r="AA245" s="30">
        <v>4</v>
      </c>
    </row>
    <row r="246" spans="8:27" x14ac:dyDescent="0.35">
      <c r="H246" s="41"/>
      <c r="I246" s="45"/>
      <c r="AA246" s="30">
        <v>15</v>
      </c>
    </row>
    <row r="247" spans="8:27" x14ac:dyDescent="0.35">
      <c r="H247" s="41"/>
      <c r="I247" s="45"/>
      <c r="AA247" s="30">
        <v>2</v>
      </c>
    </row>
    <row r="248" spans="8:27" x14ac:dyDescent="0.35">
      <c r="H248" s="41"/>
      <c r="I248" s="45"/>
      <c r="AA248" s="30">
        <v>15</v>
      </c>
    </row>
    <row r="249" spans="8:27" x14ac:dyDescent="0.35">
      <c r="H249" s="41"/>
      <c r="I249" s="45"/>
      <c r="AA249" s="30">
        <v>10</v>
      </c>
    </row>
    <row r="250" spans="8:27" x14ac:dyDescent="0.35">
      <c r="H250" s="41"/>
      <c r="I250" s="45"/>
      <c r="AA250" s="30">
        <v>0</v>
      </c>
    </row>
    <row r="251" spans="8:27" x14ac:dyDescent="0.35">
      <c r="H251" s="41"/>
      <c r="I251" s="45"/>
      <c r="AA251" s="30">
        <v>1</v>
      </c>
    </row>
    <row r="252" spans="8:27" x14ac:dyDescent="0.35">
      <c r="H252" s="41"/>
      <c r="I252" s="45"/>
      <c r="AA252" s="30">
        <v>0</v>
      </c>
    </row>
    <row r="253" spans="8:27" x14ac:dyDescent="0.35">
      <c r="H253" s="41"/>
      <c r="I253" s="41"/>
      <c r="AA253" s="30">
        <v>5</v>
      </c>
    </row>
    <row r="254" spans="8:27" x14ac:dyDescent="0.35">
      <c r="H254" s="41"/>
      <c r="I254" s="41"/>
      <c r="AA254" s="30">
        <v>35</v>
      </c>
    </row>
    <row r="255" spans="8:27" x14ac:dyDescent="0.35">
      <c r="H255" s="41"/>
      <c r="I255" s="41"/>
      <c r="AA255" s="30">
        <v>4</v>
      </c>
    </row>
    <row r="256" spans="8:27" x14ac:dyDescent="0.35">
      <c r="H256" s="41"/>
      <c r="I256" s="41"/>
      <c r="AA256" s="30">
        <v>1</v>
      </c>
    </row>
    <row r="257" spans="8:27" x14ac:dyDescent="0.35">
      <c r="H257" s="41"/>
      <c r="I257" s="41"/>
      <c r="AA257" s="30">
        <v>29</v>
      </c>
    </row>
    <row r="258" spans="8:27" x14ac:dyDescent="0.35">
      <c r="H258" s="41"/>
      <c r="I258" s="41"/>
      <c r="AA258" s="30">
        <v>0</v>
      </c>
    </row>
    <row r="259" spans="8:27" x14ac:dyDescent="0.35">
      <c r="H259" s="41"/>
      <c r="I259" s="41"/>
      <c r="AA259" s="30">
        <v>4</v>
      </c>
    </row>
    <row r="260" spans="8:27" x14ac:dyDescent="0.35">
      <c r="H260" s="41"/>
      <c r="I260" s="41"/>
      <c r="AA260" s="30">
        <v>1</v>
      </c>
    </row>
    <row r="261" spans="8:27" x14ac:dyDescent="0.35">
      <c r="H261" s="41"/>
      <c r="I261" s="41"/>
      <c r="AA261" s="30">
        <v>17</v>
      </c>
    </row>
    <row r="262" spans="8:27" x14ac:dyDescent="0.35">
      <c r="H262" s="41"/>
      <c r="I262" s="41"/>
      <c r="AA262" s="30">
        <v>0</v>
      </c>
    </row>
    <row r="263" spans="8:27" x14ac:dyDescent="0.35">
      <c r="H263" s="41"/>
      <c r="I263" s="41"/>
      <c r="AA263" s="30">
        <v>27</v>
      </c>
    </row>
    <row r="264" spans="8:27" x14ac:dyDescent="0.35">
      <c r="H264" s="41"/>
      <c r="I264" s="41"/>
      <c r="AA264" s="30">
        <v>26</v>
      </c>
    </row>
    <row r="265" spans="8:27" x14ac:dyDescent="0.35">
      <c r="H265" s="41"/>
      <c r="I265" s="41"/>
      <c r="AA265" s="30">
        <v>37</v>
      </c>
    </row>
    <row r="266" spans="8:27" x14ac:dyDescent="0.35">
      <c r="H266" s="41"/>
      <c r="I266" s="41"/>
      <c r="AA266" s="30">
        <v>15</v>
      </c>
    </row>
    <row r="267" spans="8:27" x14ac:dyDescent="0.35">
      <c r="H267" s="41"/>
      <c r="I267" s="41"/>
      <c r="AA267" s="30">
        <v>5</v>
      </c>
    </row>
    <row r="268" spans="8:27" x14ac:dyDescent="0.35">
      <c r="H268" s="41"/>
      <c r="I268" s="41"/>
      <c r="AA268" s="30">
        <v>3</v>
      </c>
    </row>
    <row r="269" spans="8:27" x14ac:dyDescent="0.35">
      <c r="H269" s="41"/>
      <c r="I269" s="41"/>
      <c r="AA269" s="30">
        <v>1</v>
      </c>
    </row>
    <row r="270" spans="8:27" x14ac:dyDescent="0.35">
      <c r="H270" s="41"/>
      <c r="I270" s="41"/>
      <c r="AA270" s="30">
        <v>5</v>
      </c>
    </row>
    <row r="271" spans="8:27" x14ac:dyDescent="0.35">
      <c r="H271" s="41"/>
      <c r="I271" s="41"/>
      <c r="AA271" s="30">
        <v>33</v>
      </c>
    </row>
    <row r="272" spans="8:27" x14ac:dyDescent="0.35">
      <c r="H272" s="41"/>
      <c r="I272" s="41"/>
      <c r="AA272" s="30">
        <v>28</v>
      </c>
    </row>
    <row r="273" spans="8:27" x14ac:dyDescent="0.35">
      <c r="H273" s="41"/>
      <c r="I273" s="41"/>
      <c r="AA273" s="30">
        <v>7</v>
      </c>
    </row>
    <row r="274" spans="8:27" x14ac:dyDescent="0.35">
      <c r="H274" s="41"/>
      <c r="I274" s="41"/>
      <c r="AA274" s="30">
        <v>0</v>
      </c>
    </row>
    <row r="275" spans="8:27" x14ac:dyDescent="0.35">
      <c r="H275" s="41"/>
      <c r="I275" s="41"/>
      <c r="AA275" s="30">
        <v>9</v>
      </c>
    </row>
    <row r="276" spans="8:27" x14ac:dyDescent="0.35">
      <c r="H276" s="41"/>
      <c r="I276" s="41"/>
      <c r="AA276" s="30">
        <v>23</v>
      </c>
    </row>
    <row r="277" spans="8:27" x14ac:dyDescent="0.35">
      <c r="H277" s="41"/>
      <c r="I277" s="41"/>
      <c r="AA277" s="30">
        <v>21</v>
      </c>
    </row>
    <row r="278" spans="8:27" x14ac:dyDescent="0.35">
      <c r="H278" s="41"/>
      <c r="I278" s="41"/>
      <c r="AA278" s="30">
        <v>13</v>
      </c>
    </row>
    <row r="279" spans="8:27" x14ac:dyDescent="0.35">
      <c r="H279" s="41"/>
      <c r="I279" s="41"/>
      <c r="AA279" s="30">
        <v>5</v>
      </c>
    </row>
    <row r="280" spans="8:27" x14ac:dyDescent="0.35">
      <c r="H280" s="41"/>
      <c r="I280" s="41"/>
      <c r="AA280" s="30">
        <v>1</v>
      </c>
    </row>
    <row r="281" spans="8:27" x14ac:dyDescent="0.35">
      <c r="H281" s="41"/>
      <c r="I281" s="41"/>
      <c r="AA281" s="30">
        <v>2</v>
      </c>
    </row>
    <row r="282" spans="8:27" x14ac:dyDescent="0.35">
      <c r="H282" s="41"/>
      <c r="I282" s="41"/>
      <c r="AA282" s="30">
        <v>2</v>
      </c>
    </row>
    <row r="283" spans="8:27" x14ac:dyDescent="0.35">
      <c r="H283" s="41"/>
      <c r="I283" s="41"/>
      <c r="AA283" s="24"/>
    </row>
    <row r="284" spans="8:27" x14ac:dyDescent="0.35">
      <c r="H284" s="41"/>
      <c r="I284" s="41"/>
      <c r="AA284" s="24"/>
    </row>
    <row r="285" spans="8:27" x14ac:dyDescent="0.35">
      <c r="H285" s="41"/>
      <c r="I285" s="41"/>
      <c r="AA285" s="24"/>
    </row>
    <row r="286" spans="8:27" x14ac:dyDescent="0.35">
      <c r="H286" s="41"/>
      <c r="I286" s="41"/>
      <c r="AA286" s="24"/>
    </row>
    <row r="287" spans="8:27" x14ac:dyDescent="0.35">
      <c r="H287" s="41"/>
      <c r="I287" s="41"/>
      <c r="AA287" s="24"/>
    </row>
    <row r="288" spans="8:27" x14ac:dyDescent="0.35">
      <c r="H288" s="41"/>
      <c r="I288" s="41"/>
      <c r="AA288" s="24"/>
    </row>
    <row r="289" spans="8:27" x14ac:dyDescent="0.35">
      <c r="H289" s="41"/>
      <c r="I289" s="41"/>
      <c r="AA289" s="24"/>
    </row>
    <row r="290" spans="8:27" x14ac:dyDescent="0.35">
      <c r="H290" s="41"/>
      <c r="I290" s="41"/>
      <c r="AA290" s="24"/>
    </row>
    <row r="291" spans="8:27" x14ac:dyDescent="0.35">
      <c r="H291" s="41"/>
      <c r="I291" s="41"/>
      <c r="AA291" s="24"/>
    </row>
    <row r="292" spans="8:27" x14ac:dyDescent="0.35">
      <c r="H292" s="41"/>
      <c r="I292" s="41"/>
      <c r="AA292" s="24"/>
    </row>
    <row r="293" spans="8:27" x14ac:dyDescent="0.35">
      <c r="H293" s="41"/>
      <c r="I293" s="41"/>
    </row>
    <row r="294" spans="8:27" x14ac:dyDescent="0.35">
      <c r="H294" s="41"/>
      <c r="I294" s="41"/>
    </row>
    <row r="295" spans="8:27" x14ac:dyDescent="0.35">
      <c r="H295" s="41"/>
      <c r="I295" s="41"/>
    </row>
    <row r="296" spans="8:27" x14ac:dyDescent="0.35">
      <c r="H296" s="41"/>
      <c r="I296" s="41"/>
    </row>
    <row r="297" spans="8:27" x14ac:dyDescent="0.35">
      <c r="H297" s="41"/>
      <c r="I297" s="41"/>
    </row>
    <row r="298" spans="8:27" x14ac:dyDescent="0.35">
      <c r="H298" s="41"/>
      <c r="I298" s="41"/>
    </row>
    <row r="299" spans="8:27" x14ac:dyDescent="0.35">
      <c r="H299" s="41"/>
      <c r="I299" s="41"/>
    </row>
    <row r="300" spans="8:27" x14ac:dyDescent="0.35">
      <c r="H300" s="41"/>
      <c r="I300" s="41"/>
    </row>
    <row r="301" spans="8:27" x14ac:dyDescent="0.35">
      <c r="H301" s="41"/>
      <c r="I301" s="41"/>
    </row>
    <row r="302" spans="8:27" x14ac:dyDescent="0.35">
      <c r="H302" s="41"/>
      <c r="I302" s="41"/>
    </row>
    <row r="303" spans="8:27" x14ac:dyDescent="0.35">
      <c r="H303" s="41"/>
      <c r="I303" s="41"/>
    </row>
    <row r="304" spans="8:27" x14ac:dyDescent="0.35">
      <c r="H304" s="41"/>
      <c r="I304" s="41"/>
    </row>
    <row r="305" spans="8:9" x14ac:dyDescent="0.35">
      <c r="H305" s="41"/>
      <c r="I305" s="41"/>
    </row>
    <row r="306" spans="8:9" x14ac:dyDescent="0.35">
      <c r="H306" s="41"/>
      <c r="I306" s="41"/>
    </row>
    <row r="307" spans="8:9" x14ac:dyDescent="0.35">
      <c r="H307" s="41"/>
      <c r="I307" s="41"/>
    </row>
    <row r="308" spans="8:9" x14ac:dyDescent="0.35">
      <c r="H308" s="41"/>
      <c r="I308" s="41"/>
    </row>
    <row r="309" spans="8:9" x14ac:dyDescent="0.35">
      <c r="H309" s="41"/>
      <c r="I309" s="41"/>
    </row>
    <row r="310" spans="8:9" x14ac:dyDescent="0.35">
      <c r="H310" s="41"/>
      <c r="I310" s="41"/>
    </row>
    <row r="311" spans="8:9" x14ac:dyDescent="0.35">
      <c r="H311" s="41"/>
      <c r="I311" s="41"/>
    </row>
    <row r="312" spans="8:9" x14ac:dyDescent="0.35">
      <c r="H312" s="41"/>
      <c r="I312" s="41"/>
    </row>
    <row r="313" spans="8:9" x14ac:dyDescent="0.35">
      <c r="H313" s="41"/>
      <c r="I313" s="41"/>
    </row>
    <row r="314" spans="8:9" x14ac:dyDescent="0.35">
      <c r="H314" s="41"/>
      <c r="I314" s="41"/>
    </row>
    <row r="315" spans="8:9" x14ac:dyDescent="0.35">
      <c r="H315" s="41"/>
      <c r="I315" s="41"/>
    </row>
    <row r="316" spans="8:9" x14ac:dyDescent="0.35">
      <c r="H316" s="41"/>
      <c r="I316" s="41"/>
    </row>
    <row r="317" spans="8:9" x14ac:dyDescent="0.35">
      <c r="H317" s="41"/>
      <c r="I317" s="41"/>
    </row>
    <row r="318" spans="8:9" x14ac:dyDescent="0.35">
      <c r="H318" s="41"/>
      <c r="I318" s="41"/>
    </row>
    <row r="319" spans="8:9" x14ac:dyDescent="0.35">
      <c r="H319" s="41"/>
      <c r="I319" s="41"/>
    </row>
    <row r="320" spans="8:9" x14ac:dyDescent="0.35">
      <c r="H320" s="41"/>
      <c r="I320" s="41"/>
    </row>
    <row r="321" spans="8:9" x14ac:dyDescent="0.35">
      <c r="H321" s="41"/>
      <c r="I321" s="41"/>
    </row>
    <row r="322" spans="8:9" x14ac:dyDescent="0.35">
      <c r="H322" s="41"/>
      <c r="I322" s="41"/>
    </row>
    <row r="323" spans="8:9" x14ac:dyDescent="0.35">
      <c r="H323" s="41"/>
      <c r="I323" s="41"/>
    </row>
    <row r="324" spans="8:9" x14ac:dyDescent="0.35">
      <c r="H324" s="41"/>
      <c r="I324" s="41"/>
    </row>
    <row r="325" spans="8:9" x14ac:dyDescent="0.35">
      <c r="H325" s="41"/>
      <c r="I325" s="41"/>
    </row>
    <row r="326" spans="8:9" x14ac:dyDescent="0.35">
      <c r="H326" s="41"/>
      <c r="I326" s="41"/>
    </row>
    <row r="327" spans="8:9" x14ac:dyDescent="0.35">
      <c r="H327" s="41"/>
      <c r="I327" s="41"/>
    </row>
    <row r="328" spans="8:9" x14ac:dyDescent="0.35">
      <c r="H328" s="41"/>
      <c r="I328" s="41"/>
    </row>
    <row r="329" spans="8:9" x14ac:dyDescent="0.35">
      <c r="H329" s="41"/>
      <c r="I329" s="41"/>
    </row>
    <row r="330" spans="8:9" x14ac:dyDescent="0.35">
      <c r="H330" s="41"/>
      <c r="I330" s="41"/>
    </row>
    <row r="331" spans="8:9" x14ac:dyDescent="0.35">
      <c r="H331" s="41"/>
      <c r="I331" s="41"/>
    </row>
    <row r="332" spans="8:9" x14ac:dyDescent="0.35">
      <c r="H332" s="41"/>
      <c r="I332" s="41"/>
    </row>
    <row r="333" spans="8:9" x14ac:dyDescent="0.35">
      <c r="H333" s="41"/>
      <c r="I333" s="41"/>
    </row>
    <row r="334" spans="8:9" x14ac:dyDescent="0.35">
      <c r="H334" s="41"/>
      <c r="I334" s="41"/>
    </row>
    <row r="335" spans="8:9" x14ac:dyDescent="0.35">
      <c r="H335" s="41"/>
      <c r="I335" s="41"/>
    </row>
    <row r="336" spans="8:9" x14ac:dyDescent="0.35">
      <c r="H336" s="41"/>
      <c r="I336" s="41"/>
    </row>
    <row r="337" spans="8:9" x14ac:dyDescent="0.35">
      <c r="H337" s="41"/>
      <c r="I337" s="41"/>
    </row>
    <row r="338" spans="8:9" x14ac:dyDescent="0.35">
      <c r="H338" s="41"/>
      <c r="I338" s="41"/>
    </row>
    <row r="339" spans="8:9" x14ac:dyDescent="0.35">
      <c r="H339" s="41"/>
      <c r="I339" s="41"/>
    </row>
    <row r="340" spans="8:9" x14ac:dyDescent="0.35">
      <c r="H340" s="41"/>
      <c r="I340" s="41"/>
    </row>
    <row r="341" spans="8:9" x14ac:dyDescent="0.35">
      <c r="H341" s="41"/>
      <c r="I341" s="41"/>
    </row>
    <row r="342" spans="8:9" x14ac:dyDescent="0.35">
      <c r="H342" s="41"/>
      <c r="I342" s="41"/>
    </row>
    <row r="343" spans="8:9" x14ac:dyDescent="0.35">
      <c r="H343" s="41"/>
      <c r="I343" s="41"/>
    </row>
    <row r="344" spans="8:9" x14ac:dyDescent="0.35">
      <c r="H344" s="41"/>
      <c r="I344" s="41"/>
    </row>
    <row r="345" spans="8:9" x14ac:dyDescent="0.35">
      <c r="H345" s="41"/>
      <c r="I345" s="41"/>
    </row>
    <row r="346" spans="8:9" x14ac:dyDescent="0.35">
      <c r="H346" s="41"/>
      <c r="I346" s="41"/>
    </row>
    <row r="347" spans="8:9" x14ac:dyDescent="0.35">
      <c r="H347" s="41"/>
      <c r="I347" s="41"/>
    </row>
    <row r="348" spans="8:9" x14ac:dyDescent="0.35">
      <c r="H348" s="41"/>
      <c r="I348" s="41"/>
    </row>
    <row r="349" spans="8:9" x14ac:dyDescent="0.35">
      <c r="H349" s="41"/>
      <c r="I349" s="41"/>
    </row>
    <row r="350" spans="8:9" x14ac:dyDescent="0.35">
      <c r="H350" s="41"/>
      <c r="I350" s="41"/>
    </row>
    <row r="351" spans="8:9" x14ac:dyDescent="0.35">
      <c r="H351" s="41"/>
      <c r="I351" s="41"/>
    </row>
    <row r="352" spans="8:9" x14ac:dyDescent="0.35">
      <c r="H352" s="41"/>
      <c r="I352" s="41"/>
    </row>
    <row r="353" spans="8:9" x14ac:dyDescent="0.35">
      <c r="H353" s="41"/>
      <c r="I353" s="41"/>
    </row>
    <row r="354" spans="8:9" x14ac:dyDescent="0.35">
      <c r="H354" s="41"/>
      <c r="I354" s="41"/>
    </row>
    <row r="355" spans="8:9" x14ac:dyDescent="0.35">
      <c r="H355" s="41"/>
      <c r="I355" s="41"/>
    </row>
    <row r="356" spans="8:9" x14ac:dyDescent="0.35">
      <c r="H356" s="41"/>
      <c r="I356" s="41"/>
    </row>
    <row r="357" spans="8:9" x14ac:dyDescent="0.35">
      <c r="H357" s="41"/>
      <c r="I357" s="41"/>
    </row>
    <row r="358" spans="8:9" x14ac:dyDescent="0.35">
      <c r="H358" s="41"/>
      <c r="I358" s="41"/>
    </row>
    <row r="359" spans="8:9" x14ac:dyDescent="0.35">
      <c r="H359" s="41"/>
      <c r="I359" s="41"/>
    </row>
    <row r="360" spans="8:9" x14ac:dyDescent="0.35">
      <c r="H360" s="41"/>
      <c r="I360" s="41"/>
    </row>
    <row r="361" spans="8:9" x14ac:dyDescent="0.35">
      <c r="H361" s="41"/>
      <c r="I361" s="41"/>
    </row>
    <row r="362" spans="8:9" x14ac:dyDescent="0.35">
      <c r="H362" s="41"/>
      <c r="I362" s="41"/>
    </row>
    <row r="363" spans="8:9" x14ac:dyDescent="0.35">
      <c r="H363" s="41"/>
      <c r="I363" s="41"/>
    </row>
    <row r="364" spans="8:9" x14ac:dyDescent="0.35">
      <c r="H364" s="41"/>
      <c r="I364" s="41"/>
    </row>
    <row r="365" spans="8:9" x14ac:dyDescent="0.35">
      <c r="H365" s="41"/>
      <c r="I365" s="41"/>
    </row>
    <row r="366" spans="8:9" x14ac:dyDescent="0.35">
      <c r="H366" s="41"/>
      <c r="I366" s="41"/>
    </row>
    <row r="367" spans="8:9" x14ac:dyDescent="0.35">
      <c r="H367" s="41"/>
      <c r="I367" s="41"/>
    </row>
    <row r="368" spans="8:9" x14ac:dyDescent="0.35">
      <c r="H368" s="41"/>
      <c r="I368" s="41"/>
    </row>
    <row r="369" spans="8:9" x14ac:dyDescent="0.35">
      <c r="H369" s="41"/>
      <c r="I369" s="41"/>
    </row>
    <row r="370" spans="8:9" x14ac:dyDescent="0.35">
      <c r="H370" s="41"/>
      <c r="I370" s="41"/>
    </row>
    <row r="371" spans="8:9" x14ac:dyDescent="0.35">
      <c r="H371" s="41"/>
      <c r="I371" s="41"/>
    </row>
    <row r="372" spans="8:9" x14ac:dyDescent="0.35">
      <c r="H372" s="41"/>
      <c r="I372" s="41"/>
    </row>
    <row r="373" spans="8:9" x14ac:dyDescent="0.35">
      <c r="H373" s="41"/>
      <c r="I373" s="41"/>
    </row>
    <row r="374" spans="8:9" x14ac:dyDescent="0.35">
      <c r="H374" s="41"/>
      <c r="I374" s="41"/>
    </row>
    <row r="375" spans="8:9" x14ac:dyDescent="0.35">
      <c r="H375" s="41"/>
      <c r="I375" s="41"/>
    </row>
    <row r="376" spans="8:9" x14ac:dyDescent="0.35">
      <c r="H376" s="41"/>
      <c r="I376" s="41"/>
    </row>
    <row r="377" spans="8:9" x14ac:dyDescent="0.35">
      <c r="H377" s="41"/>
      <c r="I377" s="41"/>
    </row>
    <row r="378" spans="8:9" x14ac:dyDescent="0.35">
      <c r="H378" s="41"/>
      <c r="I378" s="41"/>
    </row>
    <row r="379" spans="8:9" x14ac:dyDescent="0.35">
      <c r="H379" s="41"/>
      <c r="I379" s="41"/>
    </row>
    <row r="380" spans="8:9" x14ac:dyDescent="0.35">
      <c r="H380" s="41"/>
      <c r="I380" s="41"/>
    </row>
    <row r="381" spans="8:9" x14ac:dyDescent="0.35">
      <c r="H381" s="41"/>
      <c r="I381" s="41"/>
    </row>
    <row r="382" spans="8:9" x14ac:dyDescent="0.35">
      <c r="H382" s="41"/>
      <c r="I382" s="41"/>
    </row>
    <row r="383" spans="8:9" x14ac:dyDescent="0.35">
      <c r="H383" s="41"/>
      <c r="I383" s="41"/>
    </row>
    <row r="384" spans="8:9" x14ac:dyDescent="0.35">
      <c r="H384" s="41"/>
      <c r="I384" s="41"/>
    </row>
    <row r="385" spans="8:9" x14ac:dyDescent="0.35">
      <c r="H385" s="41"/>
      <c r="I385" s="41"/>
    </row>
    <row r="386" spans="8:9" x14ac:dyDescent="0.35">
      <c r="H386" s="41"/>
      <c r="I386" s="41"/>
    </row>
    <row r="387" spans="8:9" x14ac:dyDescent="0.35">
      <c r="H387" s="41"/>
      <c r="I387" s="41"/>
    </row>
    <row r="388" spans="8:9" x14ac:dyDescent="0.35">
      <c r="H388" s="41"/>
      <c r="I388" s="41"/>
    </row>
    <row r="389" spans="8:9" x14ac:dyDescent="0.35">
      <c r="H389" s="41"/>
      <c r="I389" s="41"/>
    </row>
    <row r="390" spans="8:9" x14ac:dyDescent="0.35">
      <c r="H390" s="41"/>
      <c r="I390" s="41"/>
    </row>
    <row r="391" spans="8:9" x14ac:dyDescent="0.35">
      <c r="H391" s="41"/>
      <c r="I391" s="41"/>
    </row>
    <row r="392" spans="8:9" x14ac:dyDescent="0.35">
      <c r="H392" s="41"/>
      <c r="I392" s="41"/>
    </row>
    <row r="393" spans="8:9" x14ac:dyDescent="0.35">
      <c r="H393" s="41"/>
      <c r="I393" s="41"/>
    </row>
    <row r="394" spans="8:9" x14ac:dyDescent="0.35">
      <c r="H394" s="41"/>
      <c r="I394" s="41"/>
    </row>
    <row r="395" spans="8:9" x14ac:dyDescent="0.35">
      <c r="H395" s="41"/>
      <c r="I395" s="41"/>
    </row>
    <row r="396" spans="8:9" x14ac:dyDescent="0.35">
      <c r="H396" s="41"/>
      <c r="I396" s="41"/>
    </row>
    <row r="397" spans="8:9" x14ac:dyDescent="0.35">
      <c r="H397" s="41"/>
      <c r="I397" s="41"/>
    </row>
    <row r="398" spans="8:9" x14ac:dyDescent="0.35">
      <c r="H398" s="41"/>
      <c r="I398" s="41"/>
    </row>
    <row r="399" spans="8:9" x14ac:dyDescent="0.35">
      <c r="H399" s="41"/>
      <c r="I399" s="41"/>
    </row>
    <row r="400" spans="8:9" x14ac:dyDescent="0.35">
      <c r="H400" s="41"/>
      <c r="I400" s="41"/>
    </row>
    <row r="401" spans="8:9" x14ac:dyDescent="0.35">
      <c r="H401" s="41"/>
      <c r="I401" s="41"/>
    </row>
    <row r="402" spans="8:9" x14ac:dyDescent="0.35">
      <c r="H402" s="41"/>
      <c r="I402" s="41"/>
    </row>
    <row r="403" spans="8:9" x14ac:dyDescent="0.35">
      <c r="H403" s="41"/>
      <c r="I403" s="41"/>
    </row>
    <row r="404" spans="8:9" x14ac:dyDescent="0.35">
      <c r="H404" s="41"/>
      <c r="I404" s="41"/>
    </row>
    <row r="405" spans="8:9" x14ac:dyDescent="0.35">
      <c r="H405" s="41"/>
      <c r="I405" s="41"/>
    </row>
    <row r="406" spans="8:9" x14ac:dyDescent="0.35">
      <c r="H406" s="41"/>
      <c r="I406" s="41"/>
    </row>
    <row r="407" spans="8:9" x14ac:dyDescent="0.35">
      <c r="H407" s="41"/>
      <c r="I407" s="41"/>
    </row>
    <row r="408" spans="8:9" x14ac:dyDescent="0.35">
      <c r="H408" s="41"/>
      <c r="I408" s="41"/>
    </row>
    <row r="409" spans="8:9" x14ac:dyDescent="0.35">
      <c r="H409" s="41"/>
      <c r="I409" s="41"/>
    </row>
    <row r="410" spans="8:9" x14ac:dyDescent="0.35">
      <c r="H410" s="41"/>
      <c r="I410" s="41"/>
    </row>
    <row r="411" spans="8:9" x14ac:dyDescent="0.35">
      <c r="H411" s="41"/>
      <c r="I411" s="41"/>
    </row>
    <row r="412" spans="8:9" x14ac:dyDescent="0.35">
      <c r="H412" s="41"/>
      <c r="I412" s="41"/>
    </row>
    <row r="413" spans="8:9" x14ac:dyDescent="0.35">
      <c r="H413" s="41"/>
      <c r="I413" s="41"/>
    </row>
    <row r="414" spans="8:9" x14ac:dyDescent="0.35">
      <c r="H414" s="41"/>
      <c r="I414" s="41"/>
    </row>
    <row r="415" spans="8:9" x14ac:dyDescent="0.35">
      <c r="H415" s="41"/>
      <c r="I415" s="41"/>
    </row>
    <row r="416" spans="8:9" x14ac:dyDescent="0.35">
      <c r="H416" s="41"/>
      <c r="I416" s="41"/>
    </row>
    <row r="417" spans="8:9" x14ac:dyDescent="0.35">
      <c r="H417" s="41"/>
      <c r="I417" s="41"/>
    </row>
    <row r="418" spans="8:9" x14ac:dyDescent="0.35">
      <c r="H418" s="41"/>
      <c r="I418" s="41"/>
    </row>
    <row r="419" spans="8:9" x14ac:dyDescent="0.35">
      <c r="H419" s="41"/>
      <c r="I419" s="41"/>
    </row>
    <row r="420" spans="8:9" x14ac:dyDescent="0.35">
      <c r="H420" s="41"/>
      <c r="I420" s="41"/>
    </row>
    <row r="421" spans="8:9" x14ac:dyDescent="0.35">
      <c r="H421" s="41"/>
      <c r="I421" s="41"/>
    </row>
    <row r="422" spans="8:9" x14ac:dyDescent="0.35">
      <c r="H422" s="41"/>
      <c r="I422" s="41"/>
    </row>
    <row r="423" spans="8:9" x14ac:dyDescent="0.35">
      <c r="H423" s="41"/>
      <c r="I423" s="41"/>
    </row>
    <row r="424" spans="8:9" x14ac:dyDescent="0.35">
      <c r="H424" s="41"/>
      <c r="I424" s="41"/>
    </row>
    <row r="425" spans="8:9" x14ac:dyDescent="0.35">
      <c r="H425" s="41"/>
      <c r="I425" s="41"/>
    </row>
    <row r="426" spans="8:9" x14ac:dyDescent="0.35">
      <c r="H426" s="41"/>
      <c r="I426" s="41"/>
    </row>
    <row r="427" spans="8:9" x14ac:dyDescent="0.35">
      <c r="H427" s="41"/>
      <c r="I427" s="41"/>
    </row>
    <row r="428" spans="8:9" x14ac:dyDescent="0.35">
      <c r="H428" s="41"/>
      <c r="I428" s="41"/>
    </row>
    <row r="429" spans="8:9" x14ac:dyDescent="0.35">
      <c r="H429" s="41"/>
      <c r="I429" s="41"/>
    </row>
    <row r="430" spans="8:9" x14ac:dyDescent="0.35">
      <c r="H430" s="41"/>
      <c r="I430" s="41"/>
    </row>
    <row r="431" spans="8:9" x14ac:dyDescent="0.35">
      <c r="H431" s="41"/>
      <c r="I431" s="41"/>
    </row>
    <row r="432" spans="8:9" x14ac:dyDescent="0.35">
      <c r="H432" s="41"/>
      <c r="I432" s="41"/>
    </row>
    <row r="433" spans="8:9" x14ac:dyDescent="0.35">
      <c r="H433" s="41"/>
      <c r="I433" s="41"/>
    </row>
    <row r="434" spans="8:9" x14ac:dyDescent="0.35">
      <c r="H434" s="41"/>
      <c r="I434" s="41"/>
    </row>
    <row r="435" spans="8:9" x14ac:dyDescent="0.35">
      <c r="H435" s="41"/>
      <c r="I435" s="41"/>
    </row>
    <row r="436" spans="8:9" x14ac:dyDescent="0.35">
      <c r="H436" s="41"/>
      <c r="I436" s="41"/>
    </row>
    <row r="437" spans="8:9" x14ac:dyDescent="0.35">
      <c r="H437" s="41"/>
      <c r="I437" s="41"/>
    </row>
    <row r="438" spans="8:9" x14ac:dyDescent="0.35">
      <c r="H438" s="41"/>
      <c r="I438" s="41"/>
    </row>
    <row r="439" spans="8:9" x14ac:dyDescent="0.35">
      <c r="H439" s="41"/>
      <c r="I439" s="41"/>
    </row>
    <row r="440" spans="8:9" x14ac:dyDescent="0.35">
      <c r="H440" s="41"/>
      <c r="I440" s="41"/>
    </row>
    <row r="441" spans="8:9" x14ac:dyDescent="0.35">
      <c r="H441" s="41"/>
      <c r="I441" s="41"/>
    </row>
    <row r="442" spans="8:9" x14ac:dyDescent="0.35">
      <c r="H442" s="41"/>
      <c r="I442" s="41"/>
    </row>
    <row r="443" spans="8:9" x14ac:dyDescent="0.35">
      <c r="H443" s="41"/>
      <c r="I443" s="41"/>
    </row>
    <row r="444" spans="8:9" x14ac:dyDescent="0.35">
      <c r="H444" s="41"/>
      <c r="I444" s="41"/>
    </row>
    <row r="445" spans="8:9" x14ac:dyDescent="0.35">
      <c r="H445" s="41"/>
      <c r="I445" s="41"/>
    </row>
    <row r="446" spans="8:9" x14ac:dyDescent="0.35">
      <c r="H446" s="41"/>
      <c r="I446" s="41"/>
    </row>
    <row r="447" spans="8:9" x14ac:dyDescent="0.35">
      <c r="H447" s="41"/>
      <c r="I447" s="41"/>
    </row>
    <row r="448" spans="8:9" x14ac:dyDescent="0.35">
      <c r="H448" s="41"/>
      <c r="I448" s="41"/>
    </row>
    <row r="449" spans="8:9" x14ac:dyDescent="0.35">
      <c r="H449" s="41"/>
      <c r="I449" s="41"/>
    </row>
    <row r="450" spans="8:9" x14ac:dyDescent="0.35">
      <c r="H450" s="41"/>
      <c r="I450" s="41"/>
    </row>
    <row r="451" spans="8:9" x14ac:dyDescent="0.35">
      <c r="H451" s="41"/>
      <c r="I451" s="41"/>
    </row>
    <row r="452" spans="8:9" x14ac:dyDescent="0.35">
      <c r="H452" s="41"/>
      <c r="I452" s="41"/>
    </row>
    <row r="453" spans="8:9" x14ac:dyDescent="0.35">
      <c r="H453" s="41"/>
      <c r="I453" s="41"/>
    </row>
    <row r="454" spans="8:9" x14ac:dyDescent="0.35">
      <c r="H454" s="41"/>
      <c r="I454" s="41"/>
    </row>
    <row r="455" spans="8:9" x14ac:dyDescent="0.35">
      <c r="H455" s="41"/>
      <c r="I455" s="41"/>
    </row>
    <row r="456" spans="8:9" x14ac:dyDescent="0.35">
      <c r="H456" s="41"/>
      <c r="I456" s="41"/>
    </row>
    <row r="457" spans="8:9" x14ac:dyDescent="0.35">
      <c r="H457" s="41"/>
      <c r="I457" s="41"/>
    </row>
    <row r="458" spans="8:9" x14ac:dyDescent="0.35">
      <c r="H458" s="41"/>
      <c r="I458" s="41"/>
    </row>
    <row r="459" spans="8:9" x14ac:dyDescent="0.35">
      <c r="H459" s="41"/>
      <c r="I459" s="41"/>
    </row>
    <row r="460" spans="8:9" x14ac:dyDescent="0.35">
      <c r="H460" s="41"/>
      <c r="I460" s="41"/>
    </row>
    <row r="461" spans="8:9" x14ac:dyDescent="0.35">
      <c r="H461" s="41"/>
      <c r="I461" s="41"/>
    </row>
    <row r="462" spans="8:9" x14ac:dyDescent="0.35">
      <c r="H462" s="41"/>
      <c r="I462" s="41"/>
    </row>
    <row r="463" spans="8:9" x14ac:dyDescent="0.35">
      <c r="H463" s="41"/>
      <c r="I463" s="41"/>
    </row>
    <row r="464" spans="8:9" x14ac:dyDescent="0.35">
      <c r="H464" s="41"/>
      <c r="I464" s="41"/>
    </row>
    <row r="465" spans="8:9" x14ac:dyDescent="0.35">
      <c r="H465" s="41"/>
      <c r="I465" s="41"/>
    </row>
    <row r="466" spans="8:9" x14ac:dyDescent="0.35">
      <c r="H466" s="41"/>
      <c r="I466" s="41"/>
    </row>
    <row r="467" spans="8:9" x14ac:dyDescent="0.35">
      <c r="H467" s="41"/>
      <c r="I467" s="41"/>
    </row>
    <row r="468" spans="8:9" x14ac:dyDescent="0.35">
      <c r="H468" s="41"/>
      <c r="I468" s="41"/>
    </row>
    <row r="469" spans="8:9" x14ac:dyDescent="0.35">
      <c r="H469" s="41"/>
      <c r="I469" s="41"/>
    </row>
    <row r="470" spans="8:9" x14ac:dyDescent="0.35">
      <c r="H470" s="41"/>
      <c r="I470" s="41"/>
    </row>
    <row r="471" spans="8:9" x14ac:dyDescent="0.35">
      <c r="H471" s="41"/>
      <c r="I471" s="41"/>
    </row>
    <row r="472" spans="8:9" x14ac:dyDescent="0.35">
      <c r="H472" s="41"/>
      <c r="I472" s="41"/>
    </row>
    <row r="473" spans="8:9" x14ac:dyDescent="0.35">
      <c r="H473" s="41"/>
      <c r="I473" s="41"/>
    </row>
    <row r="474" spans="8:9" x14ac:dyDescent="0.35">
      <c r="H474" s="41"/>
      <c r="I474" s="41"/>
    </row>
    <row r="475" spans="8:9" x14ac:dyDescent="0.35">
      <c r="H475" s="41"/>
      <c r="I475" s="41"/>
    </row>
    <row r="476" spans="8:9" x14ac:dyDescent="0.35">
      <c r="H476" s="41"/>
      <c r="I476" s="41"/>
    </row>
  </sheetData>
  <sheetProtection sheet="1" autoFilter="0"/>
  <conditionalFormatting sqref="J22:Z22 M25:Z25 K21:Z21 J24:Z24 K23:Z23">
    <cfRule type="expression" dxfId="24" priority="200">
      <formula>IF(J21:AH35&lt;&gt;"",+MOD(ROW(),2)-0)</formula>
    </cfRule>
  </conditionalFormatting>
  <conditionalFormatting sqref="K25:L25">
    <cfRule type="expression" dxfId="23" priority="178">
      <formula>IF(K25:AI39&lt;&gt;"",+MOD(ROW(),2)-0)</formula>
    </cfRule>
  </conditionalFormatting>
  <conditionalFormatting sqref="B25 B21:B23 B27">
    <cfRule type="expression" dxfId="22" priority="158">
      <formula>IF(A23:Y37&lt;&gt;"",+MOD(ROW(),2)-0)</formula>
    </cfRule>
  </conditionalFormatting>
  <conditionalFormatting sqref="C17:F19 C8:F15 C7:F7">
    <cfRule type="expression" dxfId="21" priority="204">
      <formula>IF(C7:Z19&lt;&gt;"",+MOD(ROW(),2)-0)</formula>
    </cfRule>
  </conditionalFormatting>
  <conditionalFormatting sqref="I22 C23:E23 C28:I28 C27:F27 C24:I24 C21:J21 C26:I26">
    <cfRule type="expression" dxfId="20" priority="134">
      <formula>IF(C21:Z28&lt;&gt;"",+MOD(ROW(),2)-0)</formula>
    </cfRule>
  </conditionalFormatting>
  <conditionalFormatting sqref="H21:J21">
    <cfRule type="expression" dxfId="19" priority="133">
      <formula>IF(H21:AE28&lt;&gt;"",+MOD(ROW(),2)-0)</formula>
    </cfRule>
  </conditionalFormatting>
  <conditionalFormatting sqref="H23:J23">
    <cfRule type="expression" dxfId="18" priority="129">
      <formula>IF(H23:AE30&lt;&gt;"",+MOD(ROW(),2)-0)</formula>
    </cfRule>
  </conditionalFormatting>
  <conditionalFormatting sqref="J25">
    <cfRule type="expression" dxfId="17" priority="128">
      <formula>IF(J25:AG32&lt;&gt;"",+MOD(ROW(),2)-0)</formula>
    </cfRule>
  </conditionalFormatting>
  <conditionalFormatting sqref="G27:J27">
    <cfRule type="expression" dxfId="16" priority="127">
      <formula>IF(G27:AD34&lt;&gt;"",+MOD(ROW(),2)-0)</formula>
    </cfRule>
  </conditionalFormatting>
  <conditionalFormatting sqref="G7:G15 G17:G19">
    <cfRule type="expression" dxfId="15" priority="108">
      <formula>IF(G7:Z19&lt;&gt;"",+MOD(ROW(),2)-0)</formula>
    </cfRule>
  </conditionalFormatting>
  <conditionalFormatting sqref="H22">
    <cfRule type="expression" dxfId="14" priority="51">
      <formula>IF(H22:AE29&lt;&gt;"",+MOD(ROW(),2)-0)</formula>
    </cfRule>
  </conditionalFormatting>
  <conditionalFormatting sqref="F1">
    <cfRule type="expression" dxfId="13" priority="206">
      <formula>IF(F7:AC19&lt;&gt;"",+MOD(ROW(),2)-0)</formula>
    </cfRule>
  </conditionalFormatting>
  <conditionalFormatting sqref="C22">
    <cfRule type="expression" dxfId="12" priority="10">
      <formula>IF(C22:Z29&lt;&gt;"",+MOD(ROW(),2)-0)</formula>
    </cfRule>
  </conditionalFormatting>
  <conditionalFormatting sqref="C22:G22">
    <cfRule type="expression" dxfId="11" priority="8">
      <formula>IF(C22:Z29&lt;&gt;"",+MOD(ROW(),2)-0)</formula>
    </cfRule>
  </conditionalFormatting>
  <conditionalFormatting sqref="F23:G23">
    <cfRule type="expression" dxfId="10" priority="7">
      <formula>IF(F23:AC30&lt;&gt;"",+MOD(ROW(),2)-0)</formula>
    </cfRule>
  </conditionalFormatting>
  <conditionalFormatting sqref="C25">
    <cfRule type="expression" dxfId="9" priority="6">
      <formula>IF(C25:Z32&lt;&gt;"",+MOD(ROW(),2)-0)</formula>
    </cfRule>
  </conditionalFormatting>
  <conditionalFormatting sqref="H25:I25">
    <cfRule type="expression" dxfId="8" priority="3">
      <formula>IF(H25:AE32&lt;&gt;"",+MOD(ROW(),2)-0)</formula>
    </cfRule>
  </conditionalFormatting>
  <conditionalFormatting sqref="D25:G25">
    <cfRule type="expression" dxfId="7" priority="1">
      <formula>IF(D25:AA32&lt;&gt;"",+MOD(ROW(),2)-0)</formula>
    </cfRule>
  </conditionalFormatting>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A1:K329"/>
  <sheetViews>
    <sheetView showGridLines="0" showRowColHeaders="0" workbookViewId="0">
      <selection activeCell="D18" sqref="D18"/>
    </sheetView>
  </sheetViews>
  <sheetFormatPr defaultRowHeight="17.25" x14ac:dyDescent="0.35"/>
  <cols>
    <col min="1" max="1" width="10" customWidth="1"/>
    <col min="2" max="2" width="25.875" customWidth="1"/>
    <col min="3" max="3" width="4.25" customWidth="1"/>
    <col min="4" max="4" width="11.875" customWidth="1"/>
    <col min="5" max="5" width="9.5" customWidth="1"/>
    <col min="6" max="6" width="7.375" customWidth="1"/>
    <col min="7" max="7" width="12.375" customWidth="1"/>
    <col min="8" max="8" width="9.625" customWidth="1"/>
    <col min="9" max="9" width="15.375" customWidth="1"/>
    <col min="10" max="10" width="9.375" customWidth="1"/>
    <col min="11" max="11" width="81" customWidth="1"/>
    <col min="12" max="12" width="11.25" customWidth="1"/>
  </cols>
  <sheetData>
    <row r="1" spans="1:11" x14ac:dyDescent="0.35">
      <c r="A1" s="11"/>
      <c r="B1" s="11"/>
      <c r="C1" s="11"/>
      <c r="D1" s="11"/>
      <c r="E1" s="11"/>
      <c r="F1" s="11"/>
      <c r="G1" s="11"/>
      <c r="H1" s="11"/>
      <c r="I1" s="11"/>
      <c r="J1" s="11"/>
    </row>
    <row r="2" spans="1:11" x14ac:dyDescent="0.35">
      <c r="A2" s="12"/>
      <c r="B2" s="11"/>
      <c r="C2" s="11"/>
      <c r="D2" s="11"/>
      <c r="E2" s="11"/>
      <c r="F2" s="11"/>
      <c r="G2" s="11"/>
      <c r="H2" s="11"/>
      <c r="I2" s="11"/>
      <c r="J2" s="11"/>
    </row>
    <row r="3" spans="1:11" ht="12" customHeight="1" x14ac:dyDescent="0.35">
      <c r="A3" s="11"/>
      <c r="B3" s="11"/>
      <c r="C3" s="11"/>
      <c r="D3" s="11"/>
      <c r="E3" s="11"/>
      <c r="F3" s="11"/>
      <c r="G3" s="11"/>
      <c r="H3" s="11"/>
      <c r="I3" s="11"/>
      <c r="J3" s="11"/>
    </row>
    <row r="4" spans="1:11" ht="27.75" customHeight="1" x14ac:dyDescent="0.35">
      <c r="A4" s="11"/>
      <c r="B4" s="1" t="s">
        <v>221</v>
      </c>
      <c r="D4" s="17" t="s">
        <v>227</v>
      </c>
      <c r="E4" s="18"/>
      <c r="F4" s="18"/>
      <c r="G4" s="17"/>
      <c r="H4" s="16"/>
      <c r="I4" s="18"/>
      <c r="J4" s="17"/>
      <c r="K4" s="17"/>
    </row>
    <row r="5" spans="1:11" ht="21.75" customHeight="1" x14ac:dyDescent="0.35">
      <c r="A5" s="11"/>
      <c r="D5" s="17"/>
      <c r="E5" s="17"/>
      <c r="F5" s="17"/>
      <c r="G5" s="17"/>
      <c r="H5" s="17"/>
      <c r="I5" s="17"/>
      <c r="J5" s="17"/>
      <c r="K5" s="17"/>
    </row>
    <row r="6" spans="1:11" ht="32.25" customHeight="1" x14ac:dyDescent="0.35">
      <c r="A6" s="11"/>
      <c r="B6" s="2" t="s">
        <v>222</v>
      </c>
      <c r="C6" s="14"/>
      <c r="D6" s="11" t="s">
        <v>228</v>
      </c>
      <c r="E6" s="11"/>
      <c r="F6" s="11"/>
      <c r="G6" s="11"/>
      <c r="H6" s="11"/>
      <c r="I6" s="11"/>
      <c r="J6" s="11"/>
    </row>
    <row r="7" spans="1:11" ht="21.75" customHeight="1" x14ac:dyDescent="0.35">
      <c r="A7" s="11"/>
      <c r="B7" s="2"/>
      <c r="C7" s="14"/>
      <c r="D7" s="11"/>
      <c r="E7" s="11"/>
      <c r="F7" s="11"/>
      <c r="G7" s="11"/>
      <c r="H7" s="11"/>
      <c r="I7" s="11"/>
      <c r="J7" s="11"/>
    </row>
    <row r="8" spans="1:11" ht="28.5" customHeight="1" x14ac:dyDescent="0.35">
      <c r="A8" s="11"/>
      <c r="B8" s="29" t="s">
        <v>603</v>
      </c>
      <c r="C8" s="11"/>
      <c r="D8" s="11" t="s">
        <v>231</v>
      </c>
      <c r="E8" s="11"/>
      <c r="F8" s="21" t="s">
        <v>233</v>
      </c>
      <c r="G8" s="19" t="s">
        <v>232</v>
      </c>
      <c r="H8" s="4" t="s">
        <v>230</v>
      </c>
      <c r="I8" s="20" t="s">
        <v>229</v>
      </c>
      <c r="J8" s="11"/>
      <c r="K8" s="3"/>
    </row>
    <row r="9" spans="1:11" s="11" customFormat="1" ht="28.5" customHeight="1" x14ac:dyDescent="0.35">
      <c r="B9" s="12"/>
      <c r="K9" s="13"/>
    </row>
    <row r="10" spans="1:11" ht="36" customHeight="1" x14ac:dyDescent="0.35">
      <c r="A10" s="11"/>
      <c r="B10" s="10" t="s">
        <v>226</v>
      </c>
      <c r="C10" s="13"/>
      <c r="D10" s="11"/>
      <c r="E10" s="11"/>
      <c r="F10" s="11"/>
      <c r="G10" s="11"/>
      <c r="H10" s="11"/>
      <c r="I10" s="11"/>
      <c r="J10" s="11"/>
      <c r="K10" s="3"/>
    </row>
    <row r="11" spans="1:11" ht="26.25" customHeight="1" x14ac:dyDescent="0.35">
      <c r="A11" s="11"/>
      <c r="B11" s="15"/>
      <c r="C11" s="13"/>
      <c r="D11" s="11"/>
      <c r="E11" s="11"/>
      <c r="F11" s="11"/>
      <c r="G11" s="11"/>
      <c r="H11" s="11"/>
      <c r="I11" s="11"/>
      <c r="J11" s="11"/>
      <c r="K11" s="3"/>
    </row>
    <row r="12" spans="1:11" ht="39.75" customHeight="1" x14ac:dyDescent="0.35">
      <c r="A12" s="11"/>
      <c r="B12" s="7" t="s">
        <v>224</v>
      </c>
      <c r="C12" s="13"/>
      <c r="D12" s="11" t="s">
        <v>234</v>
      </c>
      <c r="E12" s="11"/>
      <c r="F12" s="11"/>
      <c r="G12" s="11"/>
      <c r="H12" s="11"/>
      <c r="I12" s="11"/>
      <c r="J12" s="11"/>
      <c r="K12" s="3"/>
    </row>
    <row r="13" spans="1:11" s="11" customFormat="1" ht="18.75" customHeight="1" x14ac:dyDescent="0.35">
      <c r="B13" s="14"/>
      <c r="C13" s="13"/>
      <c r="K13" s="13"/>
    </row>
    <row r="14" spans="1:11" ht="36" customHeight="1" x14ac:dyDescent="0.35">
      <c r="A14" s="11"/>
      <c r="B14" s="5" t="s">
        <v>217</v>
      </c>
      <c r="C14" s="13"/>
      <c r="D14" s="11" t="s">
        <v>235</v>
      </c>
      <c r="E14" s="11"/>
      <c r="F14" s="11"/>
      <c r="G14" s="11"/>
      <c r="H14" s="11"/>
      <c r="I14" s="11"/>
      <c r="J14" s="11"/>
      <c r="K14" s="3"/>
    </row>
    <row r="15" spans="1:11" s="11" customFormat="1" ht="27" customHeight="1" x14ac:dyDescent="0.35">
      <c r="B15" s="12"/>
      <c r="C15" s="13"/>
      <c r="K15" s="13"/>
    </row>
    <row r="16" spans="1:11" ht="49.5" customHeight="1" x14ac:dyDescent="0.35">
      <c r="A16" s="11"/>
      <c r="B16" s="8" t="s">
        <v>225</v>
      </c>
      <c r="C16" s="13"/>
      <c r="D16" s="11" t="s">
        <v>236</v>
      </c>
      <c r="E16" s="11"/>
      <c r="F16" s="11"/>
      <c r="G16" s="11"/>
      <c r="H16" s="11"/>
      <c r="I16" s="11"/>
      <c r="J16" s="11"/>
      <c r="K16" s="3"/>
    </row>
    <row r="17" spans="1:11" x14ac:dyDescent="0.35">
      <c r="A17" s="11"/>
      <c r="B17" s="11"/>
      <c r="C17" s="13"/>
      <c r="D17" s="11"/>
      <c r="E17" s="11"/>
      <c r="F17" s="11"/>
      <c r="G17" s="11"/>
      <c r="H17" s="11"/>
      <c r="I17" s="11"/>
      <c r="J17" s="11"/>
      <c r="K17" s="3"/>
    </row>
    <row r="18" spans="1:11" ht="34.5" x14ac:dyDescent="0.35">
      <c r="A18" s="11"/>
      <c r="B18" s="9" t="s">
        <v>223</v>
      </c>
      <c r="C18" s="13"/>
      <c r="D18" s="11" t="s">
        <v>237</v>
      </c>
      <c r="E18" s="11"/>
      <c r="F18" s="11"/>
      <c r="G18" s="11"/>
      <c r="H18" s="11"/>
      <c r="I18" s="11"/>
      <c r="J18" s="11"/>
      <c r="K18" s="3"/>
    </row>
    <row r="19" spans="1:11" x14ac:dyDescent="0.35">
      <c r="A19" s="11"/>
      <c r="B19" s="11"/>
      <c r="C19" s="13"/>
      <c r="D19" s="11"/>
      <c r="E19" s="11"/>
      <c r="F19" s="11"/>
      <c r="G19" s="11"/>
      <c r="H19" s="11"/>
      <c r="I19" s="11"/>
      <c r="J19" s="11"/>
      <c r="K19" s="3"/>
    </row>
    <row r="20" spans="1:11" x14ac:dyDescent="0.35">
      <c r="A20" s="11"/>
      <c r="B20" s="11"/>
      <c r="C20" s="13"/>
      <c r="D20" s="11"/>
      <c r="E20" s="11"/>
      <c r="F20" s="11"/>
      <c r="G20" s="11"/>
      <c r="H20" s="11"/>
      <c r="I20" s="11"/>
      <c r="J20" s="11"/>
      <c r="K20" s="3"/>
    </row>
    <row r="21" spans="1:11" x14ac:dyDescent="0.35">
      <c r="A21" s="11"/>
      <c r="B21" s="11"/>
      <c r="C21" s="13"/>
      <c r="D21" s="11"/>
      <c r="E21" s="11"/>
      <c r="F21" s="11"/>
      <c r="G21" s="11"/>
      <c r="H21" s="11"/>
      <c r="I21" s="11"/>
      <c r="J21" s="11"/>
      <c r="K21" s="3"/>
    </row>
    <row r="22" spans="1:11" x14ac:dyDescent="0.35">
      <c r="A22" s="11"/>
      <c r="B22" s="11"/>
      <c r="C22" s="13"/>
      <c r="D22" s="11"/>
      <c r="E22" s="11"/>
      <c r="F22" s="11"/>
      <c r="G22" s="11"/>
      <c r="H22" s="11"/>
      <c r="I22" s="11"/>
      <c r="J22" s="11"/>
      <c r="K22" s="3"/>
    </row>
    <row r="23" spans="1:11" x14ac:dyDescent="0.35">
      <c r="A23" s="11"/>
      <c r="B23" s="11"/>
      <c r="C23" s="13"/>
      <c r="D23" s="11"/>
      <c r="E23" s="11"/>
      <c r="F23" s="11"/>
      <c r="G23" s="11"/>
      <c r="H23" s="11"/>
      <c r="I23" s="11"/>
      <c r="J23" s="11"/>
      <c r="K23" s="3"/>
    </row>
    <row r="24" spans="1:11" x14ac:dyDescent="0.35">
      <c r="A24" s="11"/>
      <c r="B24" s="11"/>
      <c r="C24" s="13"/>
      <c r="D24" s="11"/>
      <c r="E24" s="11"/>
      <c r="F24" s="11"/>
      <c r="G24" s="11"/>
      <c r="H24" s="11"/>
      <c r="I24" s="11"/>
      <c r="J24" s="11"/>
      <c r="K24" s="3"/>
    </row>
    <row r="25" spans="1:11" x14ac:dyDescent="0.35">
      <c r="A25" s="11"/>
      <c r="B25" s="11"/>
      <c r="C25" s="13"/>
      <c r="D25" s="11"/>
      <c r="E25" s="11"/>
      <c r="F25" s="11"/>
      <c r="G25" s="11"/>
      <c r="H25" s="11"/>
      <c r="I25" s="11"/>
      <c r="J25" s="11"/>
      <c r="K25" s="3"/>
    </row>
    <row r="26" spans="1:11" x14ac:dyDescent="0.35">
      <c r="A26" s="11"/>
      <c r="B26" s="11"/>
      <c r="C26" s="13"/>
      <c r="D26" s="11"/>
      <c r="E26" s="11"/>
      <c r="F26" s="11"/>
      <c r="G26" s="11"/>
      <c r="H26" s="11"/>
      <c r="I26" s="11"/>
      <c r="J26" s="11"/>
      <c r="K26" s="3"/>
    </row>
    <row r="27" spans="1:11" x14ac:dyDescent="0.35">
      <c r="A27" s="11"/>
      <c r="B27" s="11"/>
      <c r="C27" s="13"/>
      <c r="D27" s="11"/>
      <c r="E27" s="11"/>
      <c r="F27" s="11"/>
      <c r="G27" s="11"/>
      <c r="H27" s="11"/>
      <c r="I27" s="11"/>
      <c r="J27" s="11"/>
      <c r="K27" s="3"/>
    </row>
    <row r="28" spans="1:11" x14ac:dyDescent="0.35">
      <c r="A28" s="11"/>
      <c r="B28" s="11"/>
      <c r="C28" s="13"/>
      <c r="D28" s="11"/>
      <c r="E28" s="11"/>
      <c r="F28" s="11"/>
      <c r="G28" s="11"/>
      <c r="H28" s="11"/>
      <c r="I28" s="11"/>
      <c r="J28" s="11"/>
      <c r="K28" s="3"/>
    </row>
    <row r="29" spans="1:11" x14ac:dyDescent="0.35">
      <c r="A29" s="11"/>
      <c r="B29" s="11"/>
      <c r="C29" s="13"/>
      <c r="D29" s="11"/>
      <c r="E29" s="11"/>
      <c r="F29" s="11"/>
      <c r="G29" s="11"/>
      <c r="H29" s="11"/>
      <c r="I29" s="11"/>
      <c r="J29" s="11"/>
      <c r="K29" s="3"/>
    </row>
    <row r="30" spans="1:11" x14ac:dyDescent="0.35">
      <c r="A30" s="11"/>
      <c r="B30" s="11"/>
      <c r="C30" s="13"/>
      <c r="D30" s="11"/>
      <c r="E30" s="11"/>
      <c r="F30" s="11"/>
      <c r="G30" s="11"/>
      <c r="H30" s="11"/>
      <c r="I30" s="11"/>
      <c r="J30" s="11"/>
      <c r="K30" s="3"/>
    </row>
    <row r="31" spans="1:11" x14ac:dyDescent="0.35">
      <c r="A31" s="11"/>
      <c r="B31" s="11"/>
      <c r="C31" s="13"/>
      <c r="D31" s="11"/>
      <c r="E31" s="11"/>
      <c r="F31" s="11"/>
      <c r="G31" s="11"/>
      <c r="H31" s="11"/>
      <c r="I31" s="11"/>
      <c r="J31" s="11"/>
      <c r="K31" s="3"/>
    </row>
    <row r="32" spans="1:11" x14ac:dyDescent="0.35">
      <c r="A32" s="11"/>
      <c r="B32" s="11"/>
      <c r="C32" s="13"/>
      <c r="D32" s="11"/>
      <c r="E32" s="11"/>
      <c r="F32" s="11"/>
      <c r="G32" s="11"/>
      <c r="H32" s="11"/>
      <c r="I32" s="11"/>
      <c r="J32" s="11"/>
      <c r="K32" s="3"/>
    </row>
    <row r="33" spans="1:11" x14ac:dyDescent="0.35">
      <c r="A33" s="11"/>
      <c r="B33" s="11"/>
      <c r="C33" s="13"/>
      <c r="D33" s="11"/>
      <c r="E33" s="11"/>
      <c r="F33" s="11"/>
      <c r="G33" s="11"/>
      <c r="H33" s="11"/>
      <c r="I33" s="11"/>
      <c r="J33" s="11"/>
      <c r="K33" s="3"/>
    </row>
    <row r="34" spans="1:11" x14ac:dyDescent="0.35">
      <c r="A34" s="11"/>
      <c r="B34" s="11"/>
      <c r="C34" s="13"/>
      <c r="D34" s="11"/>
      <c r="E34" s="11"/>
      <c r="F34" s="11"/>
      <c r="G34" s="11"/>
      <c r="H34" s="11"/>
      <c r="I34" s="11"/>
      <c r="J34" s="11"/>
      <c r="K34" s="3"/>
    </row>
    <row r="35" spans="1:11" x14ac:dyDescent="0.35">
      <c r="A35" s="11"/>
      <c r="B35" s="11"/>
      <c r="C35" s="13"/>
      <c r="D35" s="11"/>
      <c r="E35" s="11"/>
      <c r="F35" s="11"/>
      <c r="G35" s="11"/>
      <c r="H35" s="11"/>
      <c r="I35" s="11"/>
      <c r="J35" s="11"/>
      <c r="K35" s="3"/>
    </row>
    <row r="36" spans="1:11" x14ac:dyDescent="0.35">
      <c r="A36" s="11"/>
      <c r="B36" s="11"/>
      <c r="C36" s="13"/>
      <c r="D36" s="11"/>
      <c r="E36" s="11"/>
      <c r="F36" s="11"/>
      <c r="G36" s="11"/>
      <c r="H36" s="11"/>
      <c r="I36" s="11"/>
      <c r="J36" s="11"/>
      <c r="K36" s="3"/>
    </row>
    <row r="37" spans="1:11" x14ac:dyDescent="0.35">
      <c r="A37" s="11"/>
      <c r="B37" s="11"/>
      <c r="C37" s="13"/>
      <c r="D37" s="11"/>
      <c r="E37" s="11"/>
      <c r="F37" s="11"/>
      <c r="G37" s="11"/>
      <c r="H37" s="11"/>
      <c r="I37" s="11"/>
      <c r="J37" s="11"/>
      <c r="K37" s="3"/>
    </row>
    <row r="38" spans="1:11" x14ac:dyDescent="0.35">
      <c r="A38" s="11"/>
      <c r="B38" s="11"/>
      <c r="C38" s="13"/>
      <c r="D38" s="11"/>
      <c r="E38" s="11"/>
      <c r="F38" s="11"/>
      <c r="G38" s="11"/>
      <c r="H38" s="11"/>
      <c r="I38" s="11"/>
      <c r="J38" s="11"/>
      <c r="K38" s="3"/>
    </row>
    <row r="39" spans="1:11" x14ac:dyDescent="0.35">
      <c r="B39" s="3"/>
      <c r="C39" s="3"/>
      <c r="K39" s="3"/>
    </row>
    <row r="40" spans="1:11" x14ac:dyDescent="0.35">
      <c r="B40" s="3"/>
      <c r="C40" s="3"/>
      <c r="K40" s="3"/>
    </row>
    <row r="41" spans="1:11" x14ac:dyDescent="0.35">
      <c r="B41" s="3"/>
      <c r="C41" s="3"/>
      <c r="K41" s="3"/>
    </row>
    <row r="42" spans="1:11" x14ac:dyDescent="0.35">
      <c r="B42" s="3"/>
      <c r="C42" s="3"/>
      <c r="K42" s="3"/>
    </row>
    <row r="43" spans="1:11" x14ac:dyDescent="0.35">
      <c r="B43" s="3"/>
      <c r="C43" s="3"/>
      <c r="K43" s="3"/>
    </row>
    <row r="44" spans="1:11" x14ac:dyDescent="0.35">
      <c r="B44" s="3"/>
      <c r="C44" s="3"/>
      <c r="K44" s="3"/>
    </row>
    <row r="45" spans="1:11" x14ac:dyDescent="0.35">
      <c r="B45" s="3"/>
      <c r="C45" s="3"/>
      <c r="K45" s="3"/>
    </row>
    <row r="46" spans="1:11" x14ac:dyDescent="0.35">
      <c r="B46" s="3"/>
      <c r="C46" s="3"/>
      <c r="K46" s="3"/>
    </row>
    <row r="47" spans="1:11" x14ac:dyDescent="0.35">
      <c r="B47" s="3"/>
      <c r="C47" s="3"/>
      <c r="K47" s="3"/>
    </row>
    <row r="48" spans="1:11" x14ac:dyDescent="0.35">
      <c r="B48" s="3"/>
      <c r="C48" s="3"/>
      <c r="K48" s="3"/>
    </row>
    <row r="49" spans="2:11" x14ac:dyDescent="0.35">
      <c r="B49" s="3"/>
      <c r="C49" s="3"/>
      <c r="K49" s="3"/>
    </row>
    <row r="50" spans="2:11" x14ac:dyDescent="0.35">
      <c r="B50" s="3"/>
      <c r="C50" s="3"/>
      <c r="K50" s="3"/>
    </row>
    <row r="51" spans="2:11" x14ac:dyDescent="0.35">
      <c r="B51" s="3"/>
      <c r="C51" s="3"/>
      <c r="K51" s="3"/>
    </row>
    <row r="52" spans="2:11" x14ac:dyDescent="0.35">
      <c r="B52" s="3"/>
      <c r="C52" s="3"/>
      <c r="K52" s="3"/>
    </row>
    <row r="53" spans="2:11" x14ac:dyDescent="0.35">
      <c r="B53" s="3"/>
      <c r="C53" s="3"/>
      <c r="K53" s="3"/>
    </row>
    <row r="54" spans="2:11" x14ac:dyDescent="0.35">
      <c r="B54" s="3"/>
      <c r="C54" s="3"/>
      <c r="K54" s="3"/>
    </row>
    <row r="55" spans="2:11" x14ac:dyDescent="0.35">
      <c r="B55" s="3"/>
      <c r="C55" s="3"/>
      <c r="K55" s="3"/>
    </row>
    <row r="56" spans="2:11" x14ac:dyDescent="0.35">
      <c r="B56" s="3"/>
      <c r="C56" s="3"/>
      <c r="K56" s="3"/>
    </row>
    <row r="57" spans="2:11" x14ac:dyDescent="0.35">
      <c r="B57" s="3"/>
      <c r="C57" s="3"/>
      <c r="K57" s="3"/>
    </row>
    <row r="58" spans="2:11" x14ac:dyDescent="0.35">
      <c r="B58" s="3"/>
      <c r="C58" s="3"/>
      <c r="K58" s="3"/>
    </row>
    <row r="59" spans="2:11" x14ac:dyDescent="0.35">
      <c r="B59" s="3"/>
      <c r="C59" s="3"/>
      <c r="K59" s="3"/>
    </row>
    <row r="60" spans="2:11" x14ac:dyDescent="0.35">
      <c r="B60" s="3"/>
      <c r="C60" s="3"/>
      <c r="K60" s="3"/>
    </row>
    <row r="61" spans="2:11" x14ac:dyDescent="0.35">
      <c r="B61" s="3"/>
      <c r="C61" s="3"/>
      <c r="K61" s="3"/>
    </row>
    <row r="62" spans="2:11" x14ac:dyDescent="0.35">
      <c r="B62" s="3"/>
      <c r="C62" s="3"/>
      <c r="K62" s="3"/>
    </row>
    <row r="63" spans="2:11" x14ac:dyDescent="0.35">
      <c r="B63" s="3"/>
      <c r="C63" s="3"/>
      <c r="K63" s="3"/>
    </row>
    <row r="64" spans="2:11" x14ac:dyDescent="0.35">
      <c r="B64" s="3"/>
      <c r="C64" s="3"/>
      <c r="K64" s="3"/>
    </row>
    <row r="65" spans="2:11" x14ac:dyDescent="0.35">
      <c r="B65" s="3"/>
      <c r="C65" s="3"/>
      <c r="K65" s="3"/>
    </row>
    <row r="66" spans="2:11" x14ac:dyDescent="0.35">
      <c r="B66" s="3"/>
      <c r="C66" s="3"/>
      <c r="K66" s="3"/>
    </row>
    <row r="67" spans="2:11" x14ac:dyDescent="0.35">
      <c r="B67" s="3"/>
      <c r="C67" s="3"/>
      <c r="K67" s="3"/>
    </row>
    <row r="68" spans="2:11" x14ac:dyDescent="0.35">
      <c r="B68" s="3"/>
      <c r="C68" s="3"/>
      <c r="K68" s="3"/>
    </row>
    <row r="69" spans="2:11" x14ac:dyDescent="0.35">
      <c r="B69" s="3"/>
      <c r="C69" s="3"/>
      <c r="K69" s="3"/>
    </row>
    <row r="70" spans="2:11" x14ac:dyDescent="0.35">
      <c r="B70" s="3"/>
      <c r="C70" s="3"/>
      <c r="K70" s="3"/>
    </row>
    <row r="71" spans="2:11" x14ac:dyDescent="0.35">
      <c r="B71" s="3"/>
      <c r="C71" s="3"/>
      <c r="K71" s="3"/>
    </row>
    <row r="72" spans="2:11" x14ac:dyDescent="0.35">
      <c r="B72" s="3"/>
      <c r="C72" s="3"/>
      <c r="K72" s="3"/>
    </row>
    <row r="73" spans="2:11" x14ac:dyDescent="0.35">
      <c r="B73" s="3"/>
      <c r="C73" s="3"/>
      <c r="K73" s="3"/>
    </row>
    <row r="74" spans="2:11" x14ac:dyDescent="0.35">
      <c r="B74" s="3"/>
      <c r="C74" s="3"/>
      <c r="K74" s="3"/>
    </row>
    <row r="75" spans="2:11" x14ac:dyDescent="0.35">
      <c r="B75" s="3"/>
      <c r="C75" s="3"/>
      <c r="K75" s="3"/>
    </row>
    <row r="76" spans="2:11" x14ac:dyDescent="0.35">
      <c r="B76" s="3"/>
      <c r="C76" s="3"/>
      <c r="K76" s="3"/>
    </row>
    <row r="77" spans="2:11" x14ac:dyDescent="0.35">
      <c r="B77" s="3"/>
      <c r="C77" s="3"/>
      <c r="K77" s="3"/>
    </row>
    <row r="78" spans="2:11" x14ac:dyDescent="0.35">
      <c r="B78" s="3"/>
      <c r="C78" s="3"/>
      <c r="K78" s="3"/>
    </row>
    <row r="79" spans="2:11" x14ac:dyDescent="0.35">
      <c r="B79" s="3"/>
      <c r="C79" s="3"/>
      <c r="K79" s="3"/>
    </row>
    <row r="80" spans="2:11" x14ac:dyDescent="0.35">
      <c r="B80" s="3"/>
      <c r="C80" s="3"/>
      <c r="K80" s="3"/>
    </row>
    <row r="81" spans="2:11" x14ac:dyDescent="0.35">
      <c r="B81" s="3"/>
      <c r="C81" s="3"/>
      <c r="K81" s="3"/>
    </row>
    <row r="82" spans="2:11" x14ac:dyDescent="0.35">
      <c r="B82" s="3"/>
      <c r="C82" s="3"/>
      <c r="K82" s="3"/>
    </row>
    <row r="83" spans="2:11" x14ac:dyDescent="0.35">
      <c r="B83" s="3"/>
      <c r="C83" s="3"/>
      <c r="K83" s="3"/>
    </row>
    <row r="84" spans="2:11" x14ac:dyDescent="0.35">
      <c r="B84" s="3"/>
      <c r="C84" s="3"/>
      <c r="K84" s="3"/>
    </row>
    <row r="85" spans="2:11" x14ac:dyDescent="0.35">
      <c r="B85" s="3"/>
      <c r="C85" s="3"/>
      <c r="K85" s="3"/>
    </row>
    <row r="86" spans="2:11" x14ac:dyDescent="0.35">
      <c r="B86" s="3"/>
      <c r="C86" s="3"/>
      <c r="K86" s="3"/>
    </row>
    <row r="87" spans="2:11" x14ac:dyDescent="0.35">
      <c r="B87" s="3"/>
      <c r="C87" s="3"/>
      <c r="K87" s="3"/>
    </row>
    <row r="88" spans="2:11" x14ac:dyDescent="0.35">
      <c r="B88" s="3"/>
      <c r="C88" s="3"/>
      <c r="K88" s="3"/>
    </row>
    <row r="89" spans="2:11" x14ac:dyDescent="0.35">
      <c r="B89" s="3"/>
      <c r="C89" s="3"/>
      <c r="K89" s="3"/>
    </row>
    <row r="90" spans="2:11" x14ac:dyDescent="0.35">
      <c r="B90" s="3"/>
      <c r="C90" s="3"/>
      <c r="K90" s="3"/>
    </row>
    <row r="91" spans="2:11" x14ac:dyDescent="0.35">
      <c r="B91" s="3"/>
      <c r="C91" s="3"/>
      <c r="K91" s="3"/>
    </row>
    <row r="92" spans="2:11" x14ac:dyDescent="0.35">
      <c r="B92" s="3"/>
      <c r="C92" s="3"/>
      <c r="K92" s="3"/>
    </row>
    <row r="93" spans="2:11" x14ac:dyDescent="0.35">
      <c r="B93" s="3"/>
      <c r="C93" s="3"/>
      <c r="K93" s="3"/>
    </row>
    <row r="94" spans="2:11" x14ac:dyDescent="0.35">
      <c r="B94" s="3"/>
      <c r="C94" s="3"/>
      <c r="K94" s="3"/>
    </row>
    <row r="95" spans="2:11" x14ac:dyDescent="0.35">
      <c r="B95" s="3"/>
      <c r="C95" s="3"/>
      <c r="K95" s="3"/>
    </row>
    <row r="96" spans="2:11" x14ac:dyDescent="0.35">
      <c r="B96" s="3"/>
      <c r="C96" s="3"/>
      <c r="K96" s="3"/>
    </row>
    <row r="97" spans="2:11" x14ac:dyDescent="0.35">
      <c r="B97" s="3"/>
      <c r="C97" s="3"/>
      <c r="K97" s="3"/>
    </row>
    <row r="98" spans="2:11" x14ac:dyDescent="0.35">
      <c r="B98" s="3"/>
      <c r="C98" s="3"/>
      <c r="K98" s="3"/>
    </row>
    <row r="99" spans="2:11" x14ac:dyDescent="0.35">
      <c r="B99" s="3"/>
      <c r="C99" s="3"/>
      <c r="K99" s="3"/>
    </row>
    <row r="100" spans="2:11" x14ac:dyDescent="0.35">
      <c r="B100" s="3"/>
      <c r="C100" s="3"/>
      <c r="K100" s="3"/>
    </row>
    <row r="101" spans="2:11" x14ac:dyDescent="0.35">
      <c r="B101" s="3"/>
      <c r="C101" s="3"/>
      <c r="K101" s="3"/>
    </row>
    <row r="102" spans="2:11" x14ac:dyDescent="0.35">
      <c r="B102" s="3"/>
      <c r="C102" s="3"/>
      <c r="K102" s="3"/>
    </row>
    <row r="103" spans="2:11" x14ac:dyDescent="0.35">
      <c r="B103" s="3"/>
      <c r="C103" s="3"/>
      <c r="K103" s="3"/>
    </row>
    <row r="104" spans="2:11" x14ac:dyDescent="0.35">
      <c r="B104" s="3"/>
      <c r="C104" s="3"/>
      <c r="K104" s="3"/>
    </row>
    <row r="105" spans="2:11" x14ac:dyDescent="0.35">
      <c r="B105" s="3"/>
      <c r="C105" s="3"/>
      <c r="K105" s="3"/>
    </row>
    <row r="106" spans="2:11" x14ac:dyDescent="0.35">
      <c r="B106" s="3"/>
      <c r="C106" s="3"/>
      <c r="K106" s="3"/>
    </row>
    <row r="107" spans="2:11" x14ac:dyDescent="0.35">
      <c r="B107" s="3"/>
      <c r="C107" s="3"/>
      <c r="K107" s="3"/>
    </row>
    <row r="108" spans="2:11" x14ac:dyDescent="0.35">
      <c r="B108" s="3"/>
      <c r="C108" s="3"/>
      <c r="K108" s="3"/>
    </row>
    <row r="109" spans="2:11" x14ac:dyDescent="0.35">
      <c r="B109" s="3"/>
      <c r="C109" s="3"/>
      <c r="K109" s="3"/>
    </row>
    <row r="110" spans="2:11" x14ac:dyDescent="0.35">
      <c r="B110" s="3"/>
      <c r="C110" s="3"/>
      <c r="K110" s="3"/>
    </row>
    <row r="111" spans="2:11" x14ac:dyDescent="0.35">
      <c r="B111" s="3"/>
      <c r="C111" s="3"/>
      <c r="K111" s="3"/>
    </row>
    <row r="112" spans="2:11" x14ac:dyDescent="0.35">
      <c r="B112" s="3"/>
      <c r="C112" s="3"/>
      <c r="K112" s="3"/>
    </row>
    <row r="113" spans="2:11" x14ac:dyDescent="0.35">
      <c r="B113" s="3"/>
      <c r="C113" s="3"/>
      <c r="K113" s="3"/>
    </row>
    <row r="114" spans="2:11" x14ac:dyDescent="0.35">
      <c r="B114" s="3"/>
      <c r="C114" s="3"/>
      <c r="K114" s="3"/>
    </row>
    <row r="115" spans="2:11" x14ac:dyDescent="0.35">
      <c r="B115" s="3"/>
      <c r="C115" s="3"/>
      <c r="K115" s="3"/>
    </row>
    <row r="116" spans="2:11" x14ac:dyDescent="0.35">
      <c r="B116" s="3"/>
      <c r="C116" s="3"/>
      <c r="K116" s="3"/>
    </row>
    <row r="117" spans="2:11" x14ac:dyDescent="0.35">
      <c r="B117" s="3"/>
      <c r="C117" s="3"/>
      <c r="K117" s="3"/>
    </row>
    <row r="118" spans="2:11" x14ac:dyDescent="0.35">
      <c r="B118" s="3"/>
      <c r="C118" s="3"/>
      <c r="K118" s="3"/>
    </row>
    <row r="119" spans="2:11" x14ac:dyDescent="0.35">
      <c r="B119" s="3"/>
      <c r="C119" s="3"/>
      <c r="K119" s="3"/>
    </row>
    <row r="120" spans="2:11" x14ac:dyDescent="0.35">
      <c r="B120" s="3"/>
      <c r="C120" s="3"/>
      <c r="K120" s="3"/>
    </row>
    <row r="121" spans="2:11" x14ac:dyDescent="0.35">
      <c r="B121" s="3"/>
      <c r="C121" s="3"/>
      <c r="K121" s="3"/>
    </row>
    <row r="122" spans="2:11" x14ac:dyDescent="0.35">
      <c r="B122" s="3"/>
      <c r="C122" s="3"/>
      <c r="K122" s="3"/>
    </row>
    <row r="123" spans="2:11" x14ac:dyDescent="0.35">
      <c r="B123" s="3"/>
      <c r="C123" s="3"/>
      <c r="K123" s="3"/>
    </row>
    <row r="124" spans="2:11" x14ac:dyDescent="0.35">
      <c r="B124" s="3"/>
      <c r="C124" s="3"/>
      <c r="K124" s="3"/>
    </row>
    <row r="125" spans="2:11" x14ac:dyDescent="0.35">
      <c r="B125" s="3"/>
      <c r="C125" s="3"/>
      <c r="K125" s="3"/>
    </row>
    <row r="126" spans="2:11" x14ac:dyDescent="0.35">
      <c r="B126" s="3"/>
      <c r="C126" s="3"/>
      <c r="K126" s="3"/>
    </row>
    <row r="127" spans="2:11" x14ac:dyDescent="0.35">
      <c r="B127" s="3"/>
      <c r="C127" s="3"/>
      <c r="K127" s="3"/>
    </row>
    <row r="128" spans="2:11" x14ac:dyDescent="0.35">
      <c r="B128" s="3"/>
      <c r="C128" s="3"/>
      <c r="K128" s="3"/>
    </row>
    <row r="129" spans="2:11" x14ac:dyDescent="0.35">
      <c r="B129" s="3"/>
      <c r="C129" s="3"/>
      <c r="K129" s="3"/>
    </row>
    <row r="130" spans="2:11" x14ac:dyDescent="0.35">
      <c r="B130" s="3"/>
      <c r="C130" s="3"/>
      <c r="K130" s="3"/>
    </row>
    <row r="131" spans="2:11" x14ac:dyDescent="0.35">
      <c r="B131" s="3"/>
      <c r="C131" s="3"/>
      <c r="K131" s="3"/>
    </row>
    <row r="132" spans="2:11" x14ac:dyDescent="0.35">
      <c r="B132" s="3"/>
      <c r="C132" s="3"/>
      <c r="K132" s="3"/>
    </row>
    <row r="133" spans="2:11" x14ac:dyDescent="0.35">
      <c r="B133" s="3"/>
      <c r="C133" s="3"/>
      <c r="K133" s="3"/>
    </row>
    <row r="134" spans="2:11" x14ac:dyDescent="0.35">
      <c r="B134" s="3"/>
      <c r="C134" s="3"/>
      <c r="K134" s="3"/>
    </row>
    <row r="135" spans="2:11" x14ac:dyDescent="0.35">
      <c r="B135" s="3"/>
      <c r="C135" s="3"/>
      <c r="K135" s="3"/>
    </row>
    <row r="136" spans="2:11" x14ac:dyDescent="0.35">
      <c r="B136" s="3"/>
      <c r="C136" s="3"/>
      <c r="K136" s="3"/>
    </row>
    <row r="137" spans="2:11" x14ac:dyDescent="0.35">
      <c r="B137" s="3"/>
      <c r="C137" s="3"/>
      <c r="K137" s="3"/>
    </row>
    <row r="138" spans="2:11" x14ac:dyDescent="0.35">
      <c r="B138" s="3"/>
      <c r="C138" s="3"/>
      <c r="K138" s="3"/>
    </row>
    <row r="139" spans="2:11" x14ac:dyDescent="0.35">
      <c r="B139" s="3"/>
      <c r="C139" s="3"/>
      <c r="K139" s="3"/>
    </row>
    <row r="140" spans="2:11" x14ac:dyDescent="0.35">
      <c r="B140" s="3"/>
      <c r="C140" s="3"/>
      <c r="K140" s="3"/>
    </row>
    <row r="141" spans="2:11" x14ac:dyDescent="0.35">
      <c r="B141" s="3"/>
      <c r="C141" s="3"/>
      <c r="K141" s="3"/>
    </row>
    <row r="142" spans="2:11" x14ac:dyDescent="0.35">
      <c r="B142" s="3"/>
      <c r="C142" s="3"/>
      <c r="K142" s="3"/>
    </row>
    <row r="143" spans="2:11" x14ac:dyDescent="0.35">
      <c r="B143" s="3"/>
      <c r="C143" s="3"/>
      <c r="K143" s="3"/>
    </row>
    <row r="144" spans="2:11" x14ac:dyDescent="0.35">
      <c r="B144" s="3"/>
      <c r="C144" s="3"/>
      <c r="K144" s="3"/>
    </row>
    <row r="145" spans="2:11" x14ac:dyDescent="0.35">
      <c r="B145" s="3"/>
      <c r="C145" s="3"/>
      <c r="K145" s="3"/>
    </row>
    <row r="146" spans="2:11" x14ac:dyDescent="0.35">
      <c r="B146" s="3"/>
      <c r="C146" s="3"/>
      <c r="K146" s="3"/>
    </row>
    <row r="147" spans="2:11" x14ac:dyDescent="0.35">
      <c r="B147" s="3"/>
      <c r="C147" s="3"/>
      <c r="K147" s="3"/>
    </row>
    <row r="148" spans="2:11" x14ac:dyDescent="0.35">
      <c r="B148" s="3"/>
      <c r="C148" s="3"/>
      <c r="K148" s="3"/>
    </row>
    <row r="149" spans="2:11" x14ac:dyDescent="0.35">
      <c r="B149" s="3"/>
      <c r="C149" s="3"/>
      <c r="K149" s="3"/>
    </row>
    <row r="150" spans="2:11" x14ac:dyDescent="0.35">
      <c r="B150" s="3"/>
      <c r="C150" s="3"/>
      <c r="K150" s="3"/>
    </row>
    <row r="151" spans="2:11" x14ac:dyDescent="0.35">
      <c r="B151" s="3"/>
      <c r="C151" s="3"/>
      <c r="K151" s="3"/>
    </row>
    <row r="152" spans="2:11" x14ac:dyDescent="0.35">
      <c r="B152" s="3"/>
      <c r="C152" s="3"/>
      <c r="K152" s="3"/>
    </row>
    <row r="153" spans="2:11" x14ac:dyDescent="0.35">
      <c r="B153" s="3"/>
      <c r="C153" s="3"/>
      <c r="K153" s="3"/>
    </row>
    <row r="154" spans="2:11" x14ac:dyDescent="0.35">
      <c r="B154" s="3"/>
      <c r="C154" s="3"/>
      <c r="K154" s="3"/>
    </row>
    <row r="155" spans="2:11" x14ac:dyDescent="0.35">
      <c r="B155" s="3"/>
      <c r="C155" s="3"/>
      <c r="K155" s="3"/>
    </row>
    <row r="156" spans="2:11" x14ac:dyDescent="0.35">
      <c r="B156" s="3"/>
      <c r="C156" s="3"/>
      <c r="K156" s="3"/>
    </row>
    <row r="157" spans="2:11" x14ac:dyDescent="0.35">
      <c r="B157" s="3"/>
      <c r="C157" s="3"/>
      <c r="K157" s="3"/>
    </row>
    <row r="158" spans="2:11" x14ac:dyDescent="0.35">
      <c r="B158" s="3"/>
      <c r="C158" s="3"/>
      <c r="K158" s="3"/>
    </row>
    <row r="159" spans="2:11" x14ac:dyDescent="0.35">
      <c r="B159" s="3"/>
      <c r="C159" s="3"/>
      <c r="K159" s="3"/>
    </row>
    <row r="160" spans="2:11" x14ac:dyDescent="0.35">
      <c r="B160" s="3"/>
      <c r="C160" s="3"/>
      <c r="K160" s="3"/>
    </row>
    <row r="161" spans="2:11" x14ac:dyDescent="0.35">
      <c r="B161" s="3"/>
      <c r="C161" s="3"/>
      <c r="K161" s="3"/>
    </row>
    <row r="162" spans="2:11" x14ac:dyDescent="0.35">
      <c r="B162" s="3"/>
      <c r="C162" s="3"/>
      <c r="K162" s="3"/>
    </row>
    <row r="163" spans="2:11" x14ac:dyDescent="0.35">
      <c r="B163" s="3"/>
      <c r="C163" s="3"/>
      <c r="K163" s="3"/>
    </row>
    <row r="164" spans="2:11" x14ac:dyDescent="0.35">
      <c r="B164" s="3"/>
      <c r="C164" s="3"/>
      <c r="K164" s="3"/>
    </row>
    <row r="165" spans="2:11" x14ac:dyDescent="0.35">
      <c r="B165" s="3"/>
      <c r="C165" s="3"/>
      <c r="K165" s="3"/>
    </row>
    <row r="166" spans="2:11" x14ac:dyDescent="0.35">
      <c r="B166" s="3"/>
      <c r="C166" s="3"/>
      <c r="K166" s="3"/>
    </row>
    <row r="167" spans="2:11" x14ac:dyDescent="0.35">
      <c r="B167" s="3"/>
      <c r="C167" s="3"/>
      <c r="K167" s="3"/>
    </row>
    <row r="168" spans="2:11" x14ac:dyDescent="0.35">
      <c r="B168" s="3"/>
      <c r="C168" s="3"/>
      <c r="K168" s="3"/>
    </row>
    <row r="169" spans="2:11" x14ac:dyDescent="0.35">
      <c r="B169" s="3"/>
      <c r="C169" s="3"/>
      <c r="K169" s="3"/>
    </row>
    <row r="170" spans="2:11" x14ac:dyDescent="0.35">
      <c r="B170" s="3"/>
      <c r="C170" s="3"/>
      <c r="K170" s="3"/>
    </row>
    <row r="171" spans="2:11" x14ac:dyDescent="0.35">
      <c r="B171" s="3"/>
      <c r="C171" s="3"/>
      <c r="K171" s="3"/>
    </row>
    <row r="172" spans="2:11" x14ac:dyDescent="0.35">
      <c r="B172" s="3"/>
      <c r="C172" s="3"/>
      <c r="K172" s="3"/>
    </row>
    <row r="173" spans="2:11" x14ac:dyDescent="0.35">
      <c r="B173" s="3"/>
      <c r="C173" s="3"/>
      <c r="K173" s="3"/>
    </row>
    <row r="174" spans="2:11" x14ac:dyDescent="0.35">
      <c r="B174" s="3"/>
      <c r="C174" s="3"/>
      <c r="K174" s="3"/>
    </row>
    <row r="175" spans="2:11" x14ac:dyDescent="0.35">
      <c r="B175" s="3"/>
      <c r="C175" s="3"/>
      <c r="K175" s="3"/>
    </row>
    <row r="176" spans="2:11" x14ac:dyDescent="0.35">
      <c r="B176" s="3"/>
      <c r="C176" s="3"/>
      <c r="K176" s="3"/>
    </row>
    <row r="177" spans="2:11" x14ac:dyDescent="0.35">
      <c r="B177" s="3"/>
      <c r="C177" s="3"/>
      <c r="K177" s="3"/>
    </row>
    <row r="178" spans="2:11" x14ac:dyDescent="0.35">
      <c r="B178" s="3"/>
      <c r="C178" s="3"/>
      <c r="K178" s="3"/>
    </row>
    <row r="179" spans="2:11" x14ac:dyDescent="0.35">
      <c r="B179" s="3"/>
      <c r="C179" s="3"/>
      <c r="K179" s="3"/>
    </row>
    <row r="180" spans="2:11" x14ac:dyDescent="0.35">
      <c r="B180" s="3"/>
      <c r="C180" s="3"/>
      <c r="K180" s="3"/>
    </row>
    <row r="181" spans="2:11" x14ac:dyDescent="0.35">
      <c r="B181" s="3"/>
      <c r="C181" s="3"/>
      <c r="K181" s="3"/>
    </row>
    <row r="182" spans="2:11" x14ac:dyDescent="0.35">
      <c r="B182" s="3"/>
      <c r="C182" s="3"/>
      <c r="K182" s="3"/>
    </row>
    <row r="183" spans="2:11" x14ac:dyDescent="0.35">
      <c r="B183" s="3"/>
      <c r="C183" s="3"/>
      <c r="K183" s="3"/>
    </row>
    <row r="184" spans="2:11" x14ac:dyDescent="0.35">
      <c r="B184" s="3"/>
      <c r="C184" s="3"/>
      <c r="K184" s="3"/>
    </row>
    <row r="185" spans="2:11" x14ac:dyDescent="0.35">
      <c r="B185" s="3"/>
      <c r="C185" s="3"/>
      <c r="K185" s="3"/>
    </row>
    <row r="186" spans="2:11" x14ac:dyDescent="0.35">
      <c r="B186" s="3"/>
      <c r="C186" s="3"/>
      <c r="K186" s="3"/>
    </row>
    <row r="187" spans="2:11" x14ac:dyDescent="0.35">
      <c r="B187" s="3"/>
      <c r="C187" s="3"/>
      <c r="K187" s="3"/>
    </row>
    <row r="188" spans="2:11" x14ac:dyDescent="0.35">
      <c r="B188" s="3"/>
      <c r="C188" s="3"/>
      <c r="K188" s="3"/>
    </row>
    <row r="189" spans="2:11" x14ac:dyDescent="0.35">
      <c r="B189" s="3"/>
      <c r="C189" s="3"/>
      <c r="K189" s="3"/>
    </row>
    <row r="190" spans="2:11" x14ac:dyDescent="0.35">
      <c r="B190" s="3"/>
      <c r="C190" s="3"/>
      <c r="K190" s="3"/>
    </row>
    <row r="191" spans="2:11" x14ac:dyDescent="0.35">
      <c r="B191" s="3"/>
      <c r="C191" s="3"/>
      <c r="K191" s="3"/>
    </row>
    <row r="192" spans="2:11" x14ac:dyDescent="0.35">
      <c r="B192" s="3"/>
      <c r="C192" s="3"/>
      <c r="K192" s="3"/>
    </row>
    <row r="193" spans="2:11" x14ac:dyDescent="0.35">
      <c r="B193" s="3"/>
      <c r="C193" s="3"/>
      <c r="K193" s="3"/>
    </row>
    <row r="194" spans="2:11" x14ac:dyDescent="0.35">
      <c r="B194" s="3"/>
      <c r="C194" s="3"/>
      <c r="K194" s="3"/>
    </row>
    <row r="195" spans="2:11" x14ac:dyDescent="0.35">
      <c r="B195" s="3"/>
      <c r="C195" s="3"/>
      <c r="K195" s="3"/>
    </row>
    <row r="196" spans="2:11" x14ac:dyDescent="0.35">
      <c r="B196" s="3"/>
      <c r="C196" s="3"/>
      <c r="K196" s="3"/>
    </row>
    <row r="197" spans="2:11" x14ac:dyDescent="0.35">
      <c r="B197" s="3"/>
      <c r="C197" s="3"/>
      <c r="K197" s="3"/>
    </row>
    <row r="198" spans="2:11" x14ac:dyDescent="0.35">
      <c r="B198" s="3"/>
      <c r="C198" s="3"/>
      <c r="K198" s="3"/>
    </row>
    <row r="199" spans="2:11" x14ac:dyDescent="0.35">
      <c r="B199" s="3"/>
      <c r="C199" s="3"/>
      <c r="K199" s="3"/>
    </row>
    <row r="200" spans="2:11" x14ac:dyDescent="0.35">
      <c r="B200" s="3"/>
      <c r="C200" s="3"/>
      <c r="K200" s="3"/>
    </row>
    <row r="201" spans="2:11" x14ac:dyDescent="0.35">
      <c r="B201" s="3"/>
      <c r="C201" s="3"/>
      <c r="K201" s="3"/>
    </row>
    <row r="202" spans="2:11" x14ac:dyDescent="0.35">
      <c r="B202" s="3"/>
      <c r="C202" s="3"/>
      <c r="K202" s="3"/>
    </row>
    <row r="203" spans="2:11" x14ac:dyDescent="0.35">
      <c r="B203" s="3"/>
      <c r="C203" s="3"/>
      <c r="K203" s="3"/>
    </row>
    <row r="204" spans="2:11" x14ac:dyDescent="0.35">
      <c r="B204" s="3"/>
      <c r="C204" s="3"/>
      <c r="K204" s="3"/>
    </row>
    <row r="205" spans="2:11" x14ac:dyDescent="0.35">
      <c r="B205" s="3"/>
      <c r="C205" s="3"/>
      <c r="K205" s="3"/>
    </row>
    <row r="206" spans="2:11" x14ac:dyDescent="0.35">
      <c r="B206" s="3"/>
      <c r="C206" s="3"/>
      <c r="K206" s="3"/>
    </row>
    <row r="207" spans="2:11" x14ac:dyDescent="0.35">
      <c r="B207" s="3"/>
      <c r="C207" s="3"/>
      <c r="K207" s="3"/>
    </row>
    <row r="208" spans="2:11" x14ac:dyDescent="0.35">
      <c r="B208" s="3"/>
      <c r="C208" s="3"/>
      <c r="K208" s="3"/>
    </row>
    <row r="209" spans="2:11" x14ac:dyDescent="0.35">
      <c r="B209" s="3"/>
      <c r="C209" s="3"/>
      <c r="K209" s="3"/>
    </row>
    <row r="210" spans="2:11" x14ac:dyDescent="0.35">
      <c r="B210" s="3"/>
      <c r="C210" s="3"/>
      <c r="K210" s="3"/>
    </row>
    <row r="211" spans="2:11" x14ac:dyDescent="0.35">
      <c r="B211" s="3"/>
      <c r="C211" s="3"/>
      <c r="K211" s="3"/>
    </row>
    <row r="212" spans="2:11" x14ac:dyDescent="0.35">
      <c r="B212" s="3"/>
      <c r="C212" s="3"/>
      <c r="K212" s="3"/>
    </row>
    <row r="213" spans="2:11" x14ac:dyDescent="0.35">
      <c r="B213" s="3"/>
      <c r="C213" s="3"/>
      <c r="K213" s="3"/>
    </row>
    <row r="214" spans="2:11" x14ac:dyDescent="0.35">
      <c r="B214" s="3"/>
      <c r="C214" s="3"/>
      <c r="K214" s="3"/>
    </row>
    <row r="215" spans="2:11" x14ac:dyDescent="0.35">
      <c r="B215" s="3"/>
      <c r="C215" s="3"/>
      <c r="K215" s="3"/>
    </row>
    <row r="216" spans="2:11" x14ac:dyDescent="0.35">
      <c r="B216" s="3"/>
      <c r="C216" s="3"/>
      <c r="K216" s="3"/>
    </row>
    <row r="217" spans="2:11" x14ac:dyDescent="0.35">
      <c r="B217" s="3"/>
      <c r="C217" s="3"/>
      <c r="K217" s="3"/>
    </row>
    <row r="218" spans="2:11" x14ac:dyDescent="0.35">
      <c r="B218" s="3"/>
      <c r="C218" s="3"/>
      <c r="K218" s="3"/>
    </row>
    <row r="219" spans="2:11" x14ac:dyDescent="0.35">
      <c r="B219" s="3"/>
      <c r="C219" s="3"/>
      <c r="K219" s="3"/>
    </row>
    <row r="220" spans="2:11" x14ac:dyDescent="0.35">
      <c r="B220" s="3"/>
      <c r="C220" s="3"/>
      <c r="K220" s="3"/>
    </row>
    <row r="221" spans="2:11" x14ac:dyDescent="0.35">
      <c r="B221" s="3"/>
      <c r="C221" s="3"/>
      <c r="K221" s="3"/>
    </row>
    <row r="222" spans="2:11" x14ac:dyDescent="0.35">
      <c r="B222" s="3"/>
      <c r="C222" s="3"/>
      <c r="K222" s="3"/>
    </row>
    <row r="223" spans="2:11" x14ac:dyDescent="0.35">
      <c r="B223" s="3"/>
      <c r="C223" s="3"/>
      <c r="K223" s="3"/>
    </row>
    <row r="224" spans="2:11" x14ac:dyDescent="0.35">
      <c r="B224" s="3"/>
      <c r="C224" s="3"/>
      <c r="K224" s="3"/>
    </row>
    <row r="225" spans="2:11" x14ac:dyDescent="0.35">
      <c r="B225" s="3"/>
      <c r="C225" s="3"/>
      <c r="K225" s="3"/>
    </row>
    <row r="226" spans="2:11" x14ac:dyDescent="0.35">
      <c r="B226" s="3"/>
      <c r="C226" s="3"/>
      <c r="K226" s="3"/>
    </row>
    <row r="227" spans="2:11" x14ac:dyDescent="0.35">
      <c r="B227" s="3"/>
      <c r="C227" s="3"/>
      <c r="K227" s="3"/>
    </row>
    <row r="228" spans="2:11" x14ac:dyDescent="0.35">
      <c r="B228" s="3"/>
      <c r="C228" s="3"/>
      <c r="K228" s="3"/>
    </row>
    <row r="229" spans="2:11" x14ac:dyDescent="0.35">
      <c r="B229" s="3"/>
      <c r="C229" s="3"/>
      <c r="K229" s="3"/>
    </row>
    <row r="230" spans="2:11" x14ac:dyDescent="0.35">
      <c r="B230" s="3"/>
      <c r="C230" s="3"/>
      <c r="K230" s="3"/>
    </row>
    <row r="231" spans="2:11" x14ac:dyDescent="0.35">
      <c r="B231" s="3"/>
      <c r="C231" s="3"/>
      <c r="K231" s="3"/>
    </row>
    <row r="232" spans="2:11" x14ac:dyDescent="0.35">
      <c r="B232" s="3"/>
      <c r="C232" s="3"/>
      <c r="K232" s="3"/>
    </row>
    <row r="233" spans="2:11" x14ac:dyDescent="0.35">
      <c r="B233" s="3"/>
      <c r="C233" s="3"/>
      <c r="K233" s="3"/>
    </row>
    <row r="234" spans="2:11" x14ac:dyDescent="0.35">
      <c r="B234" s="3"/>
      <c r="C234" s="3"/>
      <c r="K234" s="3"/>
    </row>
    <row r="235" spans="2:11" x14ac:dyDescent="0.35">
      <c r="B235" s="3"/>
      <c r="C235" s="3"/>
      <c r="K235" s="3"/>
    </row>
    <row r="236" spans="2:11" x14ac:dyDescent="0.35">
      <c r="B236" s="3"/>
      <c r="C236" s="3"/>
      <c r="K236" s="3"/>
    </row>
    <row r="237" spans="2:11" x14ac:dyDescent="0.35">
      <c r="B237" s="3"/>
      <c r="C237" s="3"/>
      <c r="K237" s="3"/>
    </row>
    <row r="238" spans="2:11" x14ac:dyDescent="0.35">
      <c r="B238" s="3"/>
      <c r="C238" s="3"/>
      <c r="K238" s="3"/>
    </row>
    <row r="239" spans="2:11" x14ac:dyDescent="0.35">
      <c r="B239" s="3"/>
      <c r="C239" s="3"/>
      <c r="K239" s="3"/>
    </row>
    <row r="240" spans="2:11" x14ac:dyDescent="0.35">
      <c r="B240" s="3"/>
      <c r="C240" s="3"/>
      <c r="K240" s="3"/>
    </row>
    <row r="241" spans="2:11" x14ac:dyDescent="0.35">
      <c r="B241" s="3"/>
      <c r="C241" s="3"/>
      <c r="K241" s="3"/>
    </row>
    <row r="242" spans="2:11" x14ac:dyDescent="0.35">
      <c r="B242" s="3"/>
      <c r="C242" s="3"/>
      <c r="K242" s="3"/>
    </row>
    <row r="243" spans="2:11" x14ac:dyDescent="0.35">
      <c r="B243" s="3"/>
      <c r="C243" s="3"/>
      <c r="K243" s="3"/>
    </row>
    <row r="244" spans="2:11" x14ac:dyDescent="0.35">
      <c r="B244" s="3"/>
      <c r="C244" s="3"/>
      <c r="K244" s="3"/>
    </row>
    <row r="245" spans="2:11" x14ac:dyDescent="0.35">
      <c r="B245" s="3"/>
      <c r="C245" s="3"/>
      <c r="K245" s="3"/>
    </row>
    <row r="246" spans="2:11" x14ac:dyDescent="0.35">
      <c r="B246" s="3"/>
      <c r="C246" s="3"/>
      <c r="K246" s="3"/>
    </row>
    <row r="247" spans="2:11" x14ac:dyDescent="0.35">
      <c r="B247" s="3"/>
      <c r="C247" s="3"/>
      <c r="K247" s="3"/>
    </row>
    <row r="248" spans="2:11" x14ac:dyDescent="0.35">
      <c r="B248" s="3"/>
      <c r="C248" s="3"/>
      <c r="K248" s="3"/>
    </row>
    <row r="249" spans="2:11" x14ac:dyDescent="0.35">
      <c r="B249" s="3"/>
      <c r="C249" s="3"/>
      <c r="K249" s="3"/>
    </row>
    <row r="250" spans="2:11" x14ac:dyDescent="0.35">
      <c r="B250" s="3"/>
      <c r="C250" s="3"/>
      <c r="K250" s="3"/>
    </row>
    <row r="251" spans="2:11" x14ac:dyDescent="0.35">
      <c r="B251" s="3"/>
      <c r="C251" s="3"/>
      <c r="K251" s="3"/>
    </row>
    <row r="252" spans="2:11" x14ac:dyDescent="0.35">
      <c r="B252" s="3"/>
      <c r="C252" s="3"/>
      <c r="K252" s="3"/>
    </row>
    <row r="253" spans="2:11" x14ac:dyDescent="0.35">
      <c r="B253" s="3"/>
      <c r="C253" s="3"/>
      <c r="K253" s="3"/>
    </row>
    <row r="254" spans="2:11" x14ac:dyDescent="0.35">
      <c r="B254" s="3"/>
      <c r="C254" s="3"/>
      <c r="K254" s="3"/>
    </row>
    <row r="255" spans="2:11" x14ac:dyDescent="0.35">
      <c r="B255" s="3"/>
      <c r="C255" s="3"/>
      <c r="K255" s="3"/>
    </row>
    <row r="256" spans="2:11" x14ac:dyDescent="0.35">
      <c r="B256" s="3"/>
      <c r="C256" s="3"/>
      <c r="K256" s="3"/>
    </row>
    <row r="257" spans="2:11" x14ac:dyDescent="0.35">
      <c r="B257" s="3"/>
      <c r="C257" s="3"/>
      <c r="K257" s="3"/>
    </row>
    <row r="258" spans="2:11" x14ac:dyDescent="0.35">
      <c r="B258" s="3"/>
      <c r="C258" s="3"/>
      <c r="K258" s="3"/>
    </row>
    <row r="259" spans="2:11" x14ac:dyDescent="0.35">
      <c r="B259" s="3"/>
      <c r="C259" s="3"/>
      <c r="K259" s="3"/>
    </row>
    <row r="260" spans="2:11" x14ac:dyDescent="0.35">
      <c r="B260" s="3"/>
      <c r="C260" s="3"/>
      <c r="K260" s="3"/>
    </row>
    <row r="261" spans="2:11" x14ac:dyDescent="0.35">
      <c r="B261" s="3"/>
      <c r="C261" s="3"/>
      <c r="K261" s="3"/>
    </row>
    <row r="262" spans="2:11" x14ac:dyDescent="0.35">
      <c r="B262" s="3"/>
      <c r="C262" s="3"/>
      <c r="K262" s="3"/>
    </row>
    <row r="263" spans="2:11" x14ac:dyDescent="0.35">
      <c r="B263" s="3"/>
      <c r="C263" s="3"/>
      <c r="K263" s="3"/>
    </row>
    <row r="264" spans="2:11" x14ac:dyDescent="0.35">
      <c r="B264" s="3"/>
      <c r="C264" s="3"/>
      <c r="K264" s="3"/>
    </row>
    <row r="265" spans="2:11" x14ac:dyDescent="0.35">
      <c r="B265" s="3"/>
      <c r="C265" s="3"/>
      <c r="K265" s="3"/>
    </row>
    <row r="266" spans="2:11" x14ac:dyDescent="0.35">
      <c r="B266" s="3"/>
      <c r="C266" s="3"/>
      <c r="K266" s="3"/>
    </row>
    <row r="267" spans="2:11" x14ac:dyDescent="0.35">
      <c r="B267" s="3"/>
      <c r="C267" s="3"/>
      <c r="K267" s="3"/>
    </row>
    <row r="268" spans="2:11" x14ac:dyDescent="0.35">
      <c r="B268" s="3"/>
      <c r="C268" s="3"/>
      <c r="K268" s="3"/>
    </row>
    <row r="269" spans="2:11" x14ac:dyDescent="0.35">
      <c r="B269" s="3"/>
      <c r="C269" s="3"/>
      <c r="K269" s="3"/>
    </row>
    <row r="270" spans="2:11" x14ac:dyDescent="0.35">
      <c r="B270" s="3"/>
      <c r="C270" s="3"/>
      <c r="K270" s="3"/>
    </row>
    <row r="271" spans="2:11" x14ac:dyDescent="0.35">
      <c r="B271" s="3"/>
      <c r="C271" s="3"/>
      <c r="K271" s="3"/>
    </row>
    <row r="272" spans="2:11" x14ac:dyDescent="0.35">
      <c r="B272" s="3"/>
      <c r="C272" s="3"/>
      <c r="K272" s="3"/>
    </row>
    <row r="273" spans="2:11" x14ac:dyDescent="0.35">
      <c r="B273" s="3"/>
      <c r="C273" s="3"/>
      <c r="K273" s="3"/>
    </row>
    <row r="274" spans="2:11" x14ac:dyDescent="0.35">
      <c r="B274" s="3"/>
      <c r="C274" s="3"/>
      <c r="K274" s="3"/>
    </row>
    <row r="275" spans="2:11" x14ac:dyDescent="0.35">
      <c r="B275" s="3"/>
      <c r="C275" s="3"/>
      <c r="K275" s="3"/>
    </row>
    <row r="276" spans="2:11" x14ac:dyDescent="0.35">
      <c r="B276" s="3"/>
      <c r="C276" s="3"/>
      <c r="K276" s="3"/>
    </row>
    <row r="277" spans="2:11" x14ac:dyDescent="0.35">
      <c r="B277" s="3"/>
      <c r="C277" s="3"/>
      <c r="K277" s="3"/>
    </row>
    <row r="278" spans="2:11" x14ac:dyDescent="0.35">
      <c r="B278" s="3"/>
      <c r="C278" s="3"/>
      <c r="K278" s="3"/>
    </row>
    <row r="279" spans="2:11" x14ac:dyDescent="0.35">
      <c r="B279" s="3"/>
      <c r="C279" s="3"/>
      <c r="K279" s="3"/>
    </row>
    <row r="280" spans="2:11" x14ac:dyDescent="0.35">
      <c r="B280" s="3"/>
      <c r="C280" s="3"/>
      <c r="K280" s="3"/>
    </row>
    <row r="281" spans="2:11" x14ac:dyDescent="0.35">
      <c r="B281" s="3"/>
      <c r="C281" s="3"/>
      <c r="K281" s="3"/>
    </row>
    <row r="282" spans="2:11" x14ac:dyDescent="0.35">
      <c r="B282" s="3"/>
      <c r="C282" s="3"/>
      <c r="K282" s="3"/>
    </row>
    <row r="283" spans="2:11" x14ac:dyDescent="0.35">
      <c r="B283" s="3"/>
      <c r="C283" s="3"/>
      <c r="K283" s="3"/>
    </row>
    <row r="284" spans="2:11" x14ac:dyDescent="0.35">
      <c r="B284" s="3"/>
      <c r="C284" s="3"/>
      <c r="K284" s="3"/>
    </row>
    <row r="285" spans="2:11" x14ac:dyDescent="0.35">
      <c r="B285" s="3"/>
      <c r="C285" s="3"/>
      <c r="K285" s="3"/>
    </row>
    <row r="286" spans="2:11" x14ac:dyDescent="0.35">
      <c r="B286" s="3"/>
      <c r="C286" s="3"/>
      <c r="K286" s="3"/>
    </row>
    <row r="287" spans="2:11" x14ac:dyDescent="0.35">
      <c r="B287" s="3"/>
      <c r="C287" s="3"/>
      <c r="K287" s="3"/>
    </row>
    <row r="288" spans="2:11" x14ac:dyDescent="0.35">
      <c r="B288" s="3"/>
      <c r="C288" s="3"/>
      <c r="K288" s="3"/>
    </row>
    <row r="289" spans="2:11" x14ac:dyDescent="0.35">
      <c r="B289" s="3"/>
      <c r="C289" s="3"/>
      <c r="K289" s="3"/>
    </row>
    <row r="290" spans="2:11" x14ac:dyDescent="0.35">
      <c r="B290" s="3"/>
      <c r="C290" s="3"/>
      <c r="K290" s="3"/>
    </row>
    <row r="291" spans="2:11" x14ac:dyDescent="0.35">
      <c r="B291" s="3"/>
      <c r="C291" s="3"/>
      <c r="K291" s="3"/>
    </row>
    <row r="292" spans="2:11" x14ac:dyDescent="0.35">
      <c r="B292" s="3"/>
      <c r="C292" s="3"/>
      <c r="K292" s="3"/>
    </row>
    <row r="293" spans="2:11" x14ac:dyDescent="0.35">
      <c r="B293" s="3"/>
      <c r="C293" s="3"/>
      <c r="K293" s="3"/>
    </row>
    <row r="294" spans="2:11" x14ac:dyDescent="0.35">
      <c r="B294" s="3"/>
      <c r="C294" s="3"/>
      <c r="K294" s="3"/>
    </row>
    <row r="295" spans="2:11" x14ac:dyDescent="0.35">
      <c r="B295" s="3"/>
      <c r="C295" s="3"/>
      <c r="K295" s="3"/>
    </row>
    <row r="296" spans="2:11" x14ac:dyDescent="0.35">
      <c r="B296" s="3"/>
      <c r="C296" s="3"/>
      <c r="K296" s="3"/>
    </row>
    <row r="297" spans="2:11" x14ac:dyDescent="0.35">
      <c r="B297" s="3"/>
      <c r="C297" s="3"/>
      <c r="K297" s="3"/>
    </row>
    <row r="298" spans="2:11" x14ac:dyDescent="0.35">
      <c r="B298" s="3"/>
      <c r="C298" s="3"/>
      <c r="K298" s="3"/>
    </row>
    <row r="299" spans="2:11" x14ac:dyDescent="0.35">
      <c r="B299" s="3"/>
      <c r="C299" s="3"/>
      <c r="K299" s="3"/>
    </row>
    <row r="300" spans="2:11" x14ac:dyDescent="0.35">
      <c r="B300" s="3"/>
      <c r="C300" s="3"/>
      <c r="K300" s="3"/>
    </row>
    <row r="301" spans="2:11" x14ac:dyDescent="0.35">
      <c r="B301" s="3"/>
      <c r="C301" s="3"/>
      <c r="K301" s="3"/>
    </row>
    <row r="302" spans="2:11" x14ac:dyDescent="0.35">
      <c r="B302" s="3"/>
      <c r="C302" s="3"/>
      <c r="K302" s="3"/>
    </row>
    <row r="303" spans="2:11" x14ac:dyDescent="0.35">
      <c r="B303" s="3"/>
      <c r="C303" s="3"/>
      <c r="K303" s="3"/>
    </row>
    <row r="304" spans="2:11" x14ac:dyDescent="0.35">
      <c r="B304" s="3"/>
      <c r="C304" s="3"/>
      <c r="K304" s="3"/>
    </row>
    <row r="305" spans="2:11" x14ac:dyDescent="0.35">
      <c r="B305" s="3"/>
      <c r="C305" s="3"/>
      <c r="K305" s="3"/>
    </row>
    <row r="306" spans="2:11" x14ac:dyDescent="0.35">
      <c r="B306" s="3"/>
      <c r="C306" s="3"/>
      <c r="K306" s="3"/>
    </row>
    <row r="307" spans="2:11" x14ac:dyDescent="0.35">
      <c r="B307" s="3"/>
      <c r="C307" s="3"/>
      <c r="K307" s="3"/>
    </row>
    <row r="308" spans="2:11" x14ac:dyDescent="0.35">
      <c r="B308" s="3"/>
      <c r="C308" s="3"/>
      <c r="K308" s="3"/>
    </row>
    <row r="309" spans="2:11" x14ac:dyDescent="0.35">
      <c r="B309" s="3"/>
      <c r="C309" s="3"/>
      <c r="K309" s="3"/>
    </row>
    <row r="310" spans="2:11" x14ac:dyDescent="0.35">
      <c r="B310" s="3"/>
      <c r="C310" s="3"/>
      <c r="K310" s="3"/>
    </row>
    <row r="311" spans="2:11" x14ac:dyDescent="0.35">
      <c r="B311" s="3"/>
      <c r="C311" s="3"/>
      <c r="K311" s="3"/>
    </row>
    <row r="312" spans="2:11" x14ac:dyDescent="0.35">
      <c r="B312" s="3"/>
      <c r="C312" s="3"/>
      <c r="K312" s="3"/>
    </row>
    <row r="313" spans="2:11" x14ac:dyDescent="0.35">
      <c r="B313" s="3"/>
      <c r="C313" s="3"/>
      <c r="K313" s="3"/>
    </row>
    <row r="314" spans="2:11" x14ac:dyDescent="0.35">
      <c r="B314" s="3"/>
      <c r="C314" s="3"/>
      <c r="K314" s="3"/>
    </row>
    <row r="315" spans="2:11" x14ac:dyDescent="0.35">
      <c r="B315" s="3"/>
      <c r="C315" s="3"/>
      <c r="K315" s="3"/>
    </row>
    <row r="316" spans="2:11" x14ac:dyDescent="0.35">
      <c r="B316" s="3"/>
      <c r="C316" s="3"/>
      <c r="K316" s="3"/>
    </row>
    <row r="317" spans="2:11" x14ac:dyDescent="0.35">
      <c r="B317" s="3"/>
      <c r="C317" s="3"/>
      <c r="K317" s="3"/>
    </row>
    <row r="318" spans="2:11" x14ac:dyDescent="0.35">
      <c r="B318" s="3"/>
      <c r="C318" s="3"/>
      <c r="K318" s="3"/>
    </row>
    <row r="319" spans="2:11" x14ac:dyDescent="0.35">
      <c r="B319" s="3"/>
      <c r="C319" s="3"/>
      <c r="K319" s="3"/>
    </row>
    <row r="320" spans="2:11" x14ac:dyDescent="0.35">
      <c r="B320" s="3"/>
      <c r="C320" s="3"/>
      <c r="K320" s="3"/>
    </row>
    <row r="321" spans="2:11" x14ac:dyDescent="0.35">
      <c r="B321" s="3"/>
      <c r="C321" s="3"/>
      <c r="K321" s="3"/>
    </row>
    <row r="322" spans="2:11" x14ac:dyDescent="0.35">
      <c r="B322" s="3"/>
      <c r="C322" s="3"/>
      <c r="K322" s="3"/>
    </row>
    <row r="323" spans="2:11" x14ac:dyDescent="0.35">
      <c r="B323" s="3"/>
      <c r="C323" s="3"/>
      <c r="K323" s="3"/>
    </row>
    <row r="324" spans="2:11" x14ac:dyDescent="0.35">
      <c r="B324" s="3"/>
      <c r="C324" s="3"/>
      <c r="K324" s="3"/>
    </row>
    <row r="325" spans="2:11" x14ac:dyDescent="0.35">
      <c r="B325" s="3"/>
      <c r="C325" s="3"/>
      <c r="K325" s="3"/>
    </row>
    <row r="326" spans="2:11" x14ac:dyDescent="0.35">
      <c r="B326" s="3"/>
      <c r="C326" s="3"/>
      <c r="K326" s="3"/>
    </row>
    <row r="327" spans="2:11" x14ac:dyDescent="0.35">
      <c r="B327" s="3"/>
      <c r="C327" s="3"/>
      <c r="K327" s="3"/>
    </row>
    <row r="328" spans="2:11" x14ac:dyDescent="0.35">
      <c r="B328" s="3"/>
      <c r="C328" s="3"/>
      <c r="K328" s="3"/>
    </row>
    <row r="329" spans="2:11" x14ac:dyDescent="0.35">
      <c r="B329" s="3"/>
      <c r="C329" s="3"/>
      <c r="K329" s="3"/>
    </row>
  </sheetData>
  <phoneticPr fontId="18" type="noConversion"/>
  <dataValidations count="2">
    <dataValidation type="list" showInputMessage="1" showErrorMessage="1" sqref="A4" xr:uid="{1443D7D8-E8E9-4AED-AE6E-90E9F2929A8E}">
      <formula1>#REF!</formula1>
    </dataValidation>
    <dataValidation type="list" showInputMessage="1" showErrorMessage="1" sqref="B4" xr:uid="{F41E7644-1BBC-4F76-A098-5A85989FA934}">
      <formula1>#REF!</formula1>
    </dataValidation>
  </dataValidations>
  <hyperlinks>
    <hyperlink ref="F8" r:id="rId1" xr:uid="{00000000-0004-0000-0200-000000000000}"/>
  </hyperlinks>
  <pageMargins left="0.7" right="0.7" top="0.75" bottom="0.75" header="0.3" footer="0.3"/>
  <pageSetup paperSize="9" orientation="portrait" horizontalDpi="4294967293"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274C-76A3-424C-BDC7-F0B1615194AC}">
  <sheetPr codeName="Sheet3">
    <tabColor rgb="FFDCFA28"/>
  </sheetPr>
  <dimension ref="B5:H24"/>
  <sheetViews>
    <sheetView showGridLines="0" showRowColHeaders="0" workbookViewId="0">
      <selection activeCell="F17" sqref="F17"/>
    </sheetView>
  </sheetViews>
  <sheetFormatPr defaultRowHeight="17.25" x14ac:dyDescent="0.35"/>
  <cols>
    <col min="2" max="2" width="10.75" customWidth="1"/>
  </cols>
  <sheetData>
    <row r="5" spans="2:7" x14ac:dyDescent="0.35">
      <c r="B5" s="96" t="s">
        <v>733</v>
      </c>
      <c r="C5" s="95"/>
      <c r="D5" s="95"/>
      <c r="E5" s="95"/>
      <c r="F5" s="95"/>
      <c r="G5" s="95"/>
    </row>
    <row r="6" spans="2:7" x14ac:dyDescent="0.35">
      <c r="B6" t="s">
        <v>734</v>
      </c>
    </row>
    <row r="7" spans="2:7" x14ac:dyDescent="0.35">
      <c r="B7" t="s">
        <v>735</v>
      </c>
    </row>
    <row r="8" spans="2:7" x14ac:dyDescent="0.35">
      <c r="B8" t="s">
        <v>736</v>
      </c>
    </row>
    <row r="10" spans="2:7" x14ac:dyDescent="0.35">
      <c r="B10" s="97" t="s">
        <v>737</v>
      </c>
      <c r="C10" s="97"/>
      <c r="D10" s="97"/>
    </row>
    <row r="11" spans="2:7" x14ac:dyDescent="0.35">
      <c r="B11" t="s">
        <v>740</v>
      </c>
    </row>
    <row r="12" spans="2:7" x14ac:dyDescent="0.35">
      <c r="B12" t="s">
        <v>738</v>
      </c>
    </row>
    <row r="14" spans="2:7" x14ac:dyDescent="0.35">
      <c r="B14" s="98" t="s">
        <v>739</v>
      </c>
      <c r="C14" s="98"/>
      <c r="D14" s="98"/>
      <c r="E14" s="98"/>
      <c r="F14" s="98"/>
      <c r="G14" s="98"/>
    </row>
    <row r="16" spans="2:7" x14ac:dyDescent="0.35">
      <c r="B16" t="s">
        <v>741</v>
      </c>
    </row>
    <row r="18" spans="2:8" x14ac:dyDescent="0.35">
      <c r="B18" s="99" t="s">
        <v>743</v>
      </c>
      <c r="C18" s="99"/>
    </row>
    <row r="20" spans="2:8" x14ac:dyDescent="0.35">
      <c r="B20" s="99" t="s">
        <v>742</v>
      </c>
      <c r="C20" s="99"/>
      <c r="D20" s="25" t="s">
        <v>744</v>
      </c>
    </row>
    <row r="22" spans="2:8" x14ac:dyDescent="0.35">
      <c r="B22" s="99" t="s">
        <v>745</v>
      </c>
      <c r="C22" s="99"/>
      <c r="D22" t="s">
        <v>760</v>
      </c>
    </row>
    <row r="24" spans="2:8" x14ac:dyDescent="0.35">
      <c r="H24" s="94"/>
    </row>
  </sheetData>
  <sheetProtection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4EF67-4A6C-46F6-BE4C-CC1DCD013223}">
  <sheetPr codeName="Sheet9">
    <tabColor rgb="FFFF0000"/>
  </sheetPr>
  <dimension ref="A1:AG407"/>
  <sheetViews>
    <sheetView topLeftCell="A145" workbookViewId="0">
      <selection activeCell="F181" sqref="F181"/>
    </sheetView>
  </sheetViews>
  <sheetFormatPr defaultRowHeight="17.25" x14ac:dyDescent="0.35"/>
  <cols>
    <col min="1" max="1" width="24.625" bestFit="1" customWidth="1"/>
    <col min="2" max="2" width="23.625" bestFit="1" customWidth="1"/>
    <col min="3" max="3" width="74.875" bestFit="1" customWidth="1"/>
    <col min="4" max="4" width="17.625" bestFit="1" customWidth="1"/>
    <col min="27" max="27" width="24.5" bestFit="1" customWidth="1"/>
  </cols>
  <sheetData>
    <row r="1" spans="1:33" x14ac:dyDescent="0.35">
      <c r="A1" s="50" t="s">
        <v>581</v>
      </c>
      <c r="B1" s="50" t="s">
        <v>582</v>
      </c>
      <c r="C1" s="50" t="s">
        <v>583</v>
      </c>
      <c r="D1" s="50" t="s">
        <v>598</v>
      </c>
      <c r="AA1" s="26" t="s">
        <v>96</v>
      </c>
    </row>
    <row r="2" spans="1:33" x14ac:dyDescent="0.35">
      <c r="A2" s="50" t="s">
        <v>307</v>
      </c>
      <c r="B2" s="50" t="s">
        <v>308</v>
      </c>
      <c r="C2" s="50" t="s">
        <v>309</v>
      </c>
      <c r="D2" s="50">
        <v>89</v>
      </c>
      <c r="AA2" s="26" t="s">
        <v>212</v>
      </c>
      <c r="AF2" t="s">
        <v>422</v>
      </c>
      <c r="AG2" s="6" t="s">
        <v>617</v>
      </c>
    </row>
    <row r="3" spans="1:33" x14ac:dyDescent="0.35">
      <c r="A3" s="50" t="s">
        <v>310</v>
      </c>
      <c r="B3" s="50" t="s">
        <v>308</v>
      </c>
      <c r="C3" s="50" t="s">
        <v>311</v>
      </c>
      <c r="D3" s="50">
        <v>0</v>
      </c>
      <c r="AA3" s="26" t="s">
        <v>5</v>
      </c>
    </row>
    <row r="4" spans="1:33" x14ac:dyDescent="0.35">
      <c r="A4" s="50" t="s">
        <v>312</v>
      </c>
      <c r="B4" s="50" t="s">
        <v>308</v>
      </c>
      <c r="C4" s="50" t="s">
        <v>312</v>
      </c>
      <c r="D4" s="50">
        <v>92</v>
      </c>
      <c r="F4" s="41"/>
      <c r="G4" s="41"/>
      <c r="H4" s="41"/>
      <c r="I4" s="41"/>
      <c r="J4" s="41"/>
      <c r="K4" s="41"/>
      <c r="L4" s="41"/>
      <c r="M4" s="41"/>
      <c r="N4" s="41"/>
      <c r="O4" s="41"/>
      <c r="P4" s="41"/>
      <c r="Q4" s="41"/>
      <c r="R4" s="41"/>
      <c r="S4" s="41"/>
      <c r="T4" s="41"/>
      <c r="U4" s="41"/>
      <c r="AA4" s="26" t="s">
        <v>120</v>
      </c>
      <c r="AB4" t="s">
        <v>422</v>
      </c>
      <c r="AD4" t="s">
        <v>3</v>
      </c>
    </row>
    <row r="5" spans="1:33" x14ac:dyDescent="0.35">
      <c r="A5" s="50" t="s">
        <v>313</v>
      </c>
      <c r="B5" s="50" t="s">
        <v>308</v>
      </c>
      <c r="C5" s="50" t="s">
        <v>313</v>
      </c>
      <c r="D5" s="50">
        <v>245</v>
      </c>
      <c r="F5" s="41"/>
      <c r="G5" s="42"/>
      <c r="H5" s="43"/>
      <c r="I5" s="42"/>
      <c r="J5" s="42"/>
      <c r="K5" s="42"/>
      <c r="L5" s="44"/>
      <c r="M5" s="42"/>
      <c r="N5" s="42"/>
      <c r="O5" s="42"/>
      <c r="P5" s="45"/>
      <c r="Q5" s="42"/>
      <c r="R5" s="46"/>
      <c r="S5" s="42"/>
      <c r="T5" s="42"/>
      <c r="U5" s="41"/>
      <c r="AA5" s="51" t="s">
        <v>763</v>
      </c>
      <c r="AB5" t="s">
        <v>422</v>
      </c>
      <c r="AD5" t="s">
        <v>3</v>
      </c>
    </row>
    <row r="6" spans="1:33" x14ac:dyDescent="0.35">
      <c r="A6" s="50" t="s">
        <v>314</v>
      </c>
      <c r="B6" s="50" t="s">
        <v>308</v>
      </c>
      <c r="C6" s="50" t="s">
        <v>315</v>
      </c>
      <c r="D6" s="50">
        <v>1</v>
      </c>
      <c r="F6" s="41"/>
      <c r="G6" s="42"/>
      <c r="H6" s="43"/>
      <c r="I6" s="42"/>
      <c r="J6" s="42"/>
      <c r="K6" s="42"/>
      <c r="L6" s="44"/>
      <c r="M6" s="42"/>
      <c r="N6" s="42"/>
      <c r="O6" s="42"/>
      <c r="P6" s="45"/>
      <c r="Q6" s="42"/>
      <c r="R6" s="46"/>
      <c r="S6" s="42"/>
      <c r="T6" s="42"/>
      <c r="U6" s="41"/>
      <c r="AA6" s="51" t="s">
        <v>122</v>
      </c>
      <c r="AB6" t="s">
        <v>422</v>
      </c>
      <c r="AD6" t="s">
        <v>3</v>
      </c>
    </row>
    <row r="7" spans="1:33" x14ac:dyDescent="0.35">
      <c r="A7" s="50" t="s">
        <v>316</v>
      </c>
      <c r="B7" s="50" t="s">
        <v>308</v>
      </c>
      <c r="C7" s="50" t="s">
        <v>317</v>
      </c>
      <c r="D7" s="50">
        <v>66</v>
      </c>
      <c r="F7" s="41"/>
      <c r="G7" s="42"/>
      <c r="H7" s="43"/>
      <c r="I7" s="42"/>
      <c r="J7" s="42"/>
      <c r="K7" s="42"/>
      <c r="L7" s="44"/>
      <c r="M7" s="42"/>
      <c r="N7" s="42"/>
      <c r="O7" s="42"/>
      <c r="P7" s="45"/>
      <c r="Q7" s="42"/>
      <c r="R7" s="46"/>
      <c r="S7" s="42"/>
      <c r="T7" s="42"/>
      <c r="U7" s="41"/>
      <c r="AA7" s="26" t="s">
        <v>123</v>
      </c>
      <c r="AB7" t="s">
        <v>422</v>
      </c>
      <c r="AD7" t="s">
        <v>3</v>
      </c>
    </row>
    <row r="8" spans="1:33" x14ac:dyDescent="0.35">
      <c r="A8" s="50" t="s">
        <v>318</v>
      </c>
      <c r="B8" s="50" t="s">
        <v>319</v>
      </c>
      <c r="C8" s="50" t="s">
        <v>320</v>
      </c>
      <c r="D8" s="50">
        <v>67</v>
      </c>
      <c r="F8" s="41"/>
      <c r="G8" s="42"/>
      <c r="H8" s="43"/>
      <c r="I8" s="42"/>
      <c r="J8" s="42"/>
      <c r="K8" s="42"/>
      <c r="L8" s="44"/>
      <c r="M8" s="42"/>
      <c r="N8" s="42"/>
      <c r="O8" s="42"/>
      <c r="P8" s="45"/>
      <c r="Q8" s="42"/>
      <c r="R8" s="46"/>
      <c r="S8" s="42"/>
      <c r="T8" s="42"/>
      <c r="U8" s="41"/>
      <c r="AA8" s="51" t="s">
        <v>124</v>
      </c>
      <c r="AB8" t="s">
        <v>422</v>
      </c>
      <c r="AD8" t="s">
        <v>3</v>
      </c>
    </row>
    <row r="9" spans="1:33" x14ac:dyDescent="0.35">
      <c r="A9" s="50" t="s">
        <v>321</v>
      </c>
      <c r="B9" s="50" t="s">
        <v>319</v>
      </c>
      <c r="C9" s="50" t="s">
        <v>322</v>
      </c>
      <c r="D9" s="50">
        <v>2</v>
      </c>
      <c r="F9" s="41"/>
      <c r="G9" s="42"/>
      <c r="H9" s="43"/>
      <c r="I9" s="43"/>
      <c r="J9" s="42"/>
      <c r="K9" s="42"/>
      <c r="L9" s="44"/>
      <c r="M9" s="42"/>
      <c r="N9" s="42"/>
      <c r="O9" s="42"/>
      <c r="P9" s="45"/>
      <c r="Q9" s="42"/>
      <c r="R9" s="42"/>
      <c r="S9" s="42"/>
      <c r="T9" s="42"/>
      <c r="U9" s="41"/>
      <c r="AA9" s="51" t="s">
        <v>125</v>
      </c>
      <c r="AB9" t="s">
        <v>422</v>
      </c>
      <c r="AD9" t="s">
        <v>3</v>
      </c>
    </row>
    <row r="10" spans="1:33" x14ac:dyDescent="0.35">
      <c r="A10" s="50" t="s">
        <v>323</v>
      </c>
      <c r="B10" s="50" t="s">
        <v>319</v>
      </c>
      <c r="C10" s="50" t="s">
        <v>324</v>
      </c>
      <c r="D10" s="50">
        <v>2</v>
      </c>
      <c r="F10" s="47"/>
      <c r="G10" s="47"/>
      <c r="H10" s="47"/>
      <c r="I10" s="47"/>
      <c r="J10" s="47"/>
      <c r="K10" s="47"/>
      <c r="L10" s="47"/>
      <c r="M10" s="47"/>
      <c r="N10" s="47"/>
      <c r="O10" s="47"/>
      <c r="P10" s="47"/>
      <c r="Q10" s="47"/>
      <c r="R10" s="47"/>
      <c r="S10" s="47"/>
      <c r="T10" s="47"/>
      <c r="U10" s="47"/>
      <c r="AA10" s="26" t="s">
        <v>126</v>
      </c>
      <c r="AB10" t="s">
        <v>422</v>
      </c>
      <c r="AD10" t="s">
        <v>3</v>
      </c>
    </row>
    <row r="11" spans="1:33" x14ac:dyDescent="0.35">
      <c r="A11" s="50" t="s">
        <v>325</v>
      </c>
      <c r="B11" s="50" t="s">
        <v>319</v>
      </c>
      <c r="C11" s="50" t="s">
        <v>326</v>
      </c>
      <c r="D11" s="50">
        <v>24</v>
      </c>
      <c r="F11" s="47"/>
      <c r="G11" s="47"/>
      <c r="H11" s="47"/>
      <c r="I11" s="47"/>
      <c r="J11" s="47"/>
      <c r="K11" s="47"/>
      <c r="L11" s="47"/>
      <c r="M11" s="47"/>
      <c r="N11" s="47"/>
      <c r="O11" s="47"/>
      <c r="P11" s="47"/>
      <c r="Q11" s="47"/>
      <c r="R11" s="47"/>
      <c r="S11" s="47"/>
      <c r="T11" s="47"/>
      <c r="U11" s="47"/>
      <c r="AA11" s="51" t="s">
        <v>127</v>
      </c>
      <c r="AB11" t="s">
        <v>422</v>
      </c>
      <c r="AD11" t="s">
        <v>3</v>
      </c>
    </row>
    <row r="12" spans="1:33" x14ac:dyDescent="0.35">
      <c r="A12" s="50" t="s">
        <v>327</v>
      </c>
      <c r="B12" s="50" t="s">
        <v>319</v>
      </c>
      <c r="C12" s="50" t="s">
        <v>328</v>
      </c>
      <c r="D12" s="50">
        <v>43</v>
      </c>
      <c r="F12" s="47"/>
      <c r="G12" s="47"/>
      <c r="H12" s="47"/>
      <c r="I12" s="47"/>
      <c r="J12" s="47"/>
      <c r="K12" s="47"/>
      <c r="L12" s="47"/>
      <c r="M12" s="47"/>
      <c r="N12" s="47"/>
      <c r="O12" s="47"/>
      <c r="P12" s="47"/>
      <c r="Q12" s="47"/>
      <c r="R12" s="47"/>
      <c r="S12" s="47"/>
      <c r="T12" s="47"/>
      <c r="U12" s="47"/>
      <c r="AA12" s="26" t="s">
        <v>158</v>
      </c>
      <c r="AB12" t="s">
        <v>422</v>
      </c>
      <c r="AD12" t="s">
        <v>3</v>
      </c>
    </row>
    <row r="13" spans="1:33" x14ac:dyDescent="0.35">
      <c r="A13" s="50" t="s">
        <v>329</v>
      </c>
      <c r="B13" s="50" t="s">
        <v>319</v>
      </c>
      <c r="C13" s="50" t="s">
        <v>330</v>
      </c>
      <c r="D13" s="50">
        <v>1</v>
      </c>
      <c r="F13" s="47"/>
      <c r="G13" s="47"/>
      <c r="H13" s="47"/>
      <c r="I13" s="47"/>
      <c r="J13" s="47"/>
      <c r="K13" s="47"/>
      <c r="L13" s="47"/>
      <c r="M13" s="47"/>
      <c r="N13" s="47"/>
      <c r="O13" s="47"/>
      <c r="P13" s="47"/>
      <c r="Q13" s="47"/>
      <c r="R13" s="47"/>
      <c r="S13" s="47"/>
      <c r="T13" s="47"/>
      <c r="U13" s="47"/>
      <c r="AA13" s="51" t="s">
        <v>193</v>
      </c>
      <c r="AB13" t="s">
        <v>422</v>
      </c>
      <c r="AD13" t="s">
        <v>3</v>
      </c>
    </row>
    <row r="14" spans="1:33" x14ac:dyDescent="0.35">
      <c r="A14" s="50" t="s">
        <v>331</v>
      </c>
      <c r="B14" s="50" t="s">
        <v>319</v>
      </c>
      <c r="C14" s="50" t="s">
        <v>332</v>
      </c>
      <c r="D14" s="50">
        <v>3</v>
      </c>
      <c r="AA14" s="26" t="s">
        <v>128</v>
      </c>
      <c r="AB14" t="s">
        <v>422</v>
      </c>
      <c r="AD14" t="s">
        <v>3</v>
      </c>
    </row>
    <row r="15" spans="1:33" x14ac:dyDescent="0.35">
      <c r="A15" s="50" t="s">
        <v>333</v>
      </c>
      <c r="B15" s="50" t="s">
        <v>319</v>
      </c>
      <c r="C15" s="50" t="s">
        <v>334</v>
      </c>
      <c r="D15" s="50">
        <v>0</v>
      </c>
      <c r="AA15" s="51" t="s">
        <v>130</v>
      </c>
      <c r="AB15" t="s">
        <v>422</v>
      </c>
      <c r="AD15" t="s">
        <v>3</v>
      </c>
    </row>
    <row r="16" spans="1:33" x14ac:dyDescent="0.35">
      <c r="A16" s="50" t="s">
        <v>335</v>
      </c>
      <c r="B16" s="50" t="s">
        <v>319</v>
      </c>
      <c r="C16" s="50" t="s">
        <v>336</v>
      </c>
      <c r="D16" s="50">
        <v>12</v>
      </c>
      <c r="AA16" s="26" t="s">
        <v>141</v>
      </c>
      <c r="AB16" t="s">
        <v>422</v>
      </c>
      <c r="AD16" t="s">
        <v>3</v>
      </c>
    </row>
    <row r="17" spans="1:31" x14ac:dyDescent="0.35">
      <c r="A17" s="50" t="s">
        <v>337</v>
      </c>
      <c r="B17" s="50" t="s">
        <v>319</v>
      </c>
      <c r="C17" s="50" t="s">
        <v>338</v>
      </c>
      <c r="D17" s="50">
        <v>1</v>
      </c>
      <c r="AA17" s="26" t="s">
        <v>183</v>
      </c>
      <c r="AB17" t="s">
        <v>422</v>
      </c>
      <c r="AD17" t="s">
        <v>3</v>
      </c>
    </row>
    <row r="18" spans="1:31" x14ac:dyDescent="0.35">
      <c r="A18" s="50" t="s">
        <v>584</v>
      </c>
      <c r="B18" s="50" t="s">
        <v>339</v>
      </c>
      <c r="C18" s="50" t="s">
        <v>301</v>
      </c>
      <c r="D18" s="50">
        <v>21</v>
      </c>
      <c r="AA18" s="26" t="s">
        <v>184</v>
      </c>
      <c r="AB18" t="s">
        <v>422</v>
      </c>
      <c r="AD18" t="s">
        <v>3</v>
      </c>
    </row>
    <row r="19" spans="1:31" x14ac:dyDescent="0.35">
      <c r="A19" s="50" t="s">
        <v>584</v>
      </c>
      <c r="B19" s="50" t="s">
        <v>339</v>
      </c>
      <c r="C19" s="50" t="s">
        <v>301</v>
      </c>
      <c r="D19" s="50">
        <v>0</v>
      </c>
      <c r="AA19" s="26" t="s">
        <v>464</v>
      </c>
      <c r="AB19" t="s">
        <v>422</v>
      </c>
      <c r="AD19" t="s">
        <v>3</v>
      </c>
    </row>
    <row r="20" spans="1:31" x14ac:dyDescent="0.35">
      <c r="A20" s="50" t="s">
        <v>586</v>
      </c>
      <c r="B20" s="50" t="s">
        <v>339</v>
      </c>
      <c r="C20" s="50" t="s">
        <v>340</v>
      </c>
      <c r="D20" s="50">
        <v>33</v>
      </c>
      <c r="AA20" s="26" t="s">
        <v>185</v>
      </c>
      <c r="AB20" t="s">
        <v>422</v>
      </c>
      <c r="AD20" t="s">
        <v>3</v>
      </c>
    </row>
    <row r="21" spans="1:31" x14ac:dyDescent="0.35">
      <c r="A21" s="50" t="s">
        <v>586</v>
      </c>
      <c r="B21" s="50" t="s">
        <v>339</v>
      </c>
      <c r="C21" s="50" t="s">
        <v>340</v>
      </c>
      <c r="D21" s="50">
        <v>0</v>
      </c>
      <c r="AA21" s="51" t="s">
        <v>103</v>
      </c>
      <c r="AB21" t="s">
        <v>314</v>
      </c>
      <c r="AD21" t="s">
        <v>3</v>
      </c>
    </row>
    <row r="22" spans="1:31" x14ac:dyDescent="0.35">
      <c r="A22" s="50" t="s">
        <v>585</v>
      </c>
      <c r="B22" s="50" t="s">
        <v>339</v>
      </c>
      <c r="C22" s="50" t="s">
        <v>302</v>
      </c>
      <c r="D22" s="50">
        <v>0</v>
      </c>
      <c r="AA22" s="26" t="s">
        <v>24</v>
      </c>
      <c r="AB22" t="s">
        <v>314</v>
      </c>
      <c r="AD22" t="s">
        <v>3</v>
      </c>
    </row>
    <row r="23" spans="1:31" x14ac:dyDescent="0.35">
      <c r="A23" s="50" t="s">
        <v>585</v>
      </c>
      <c r="B23" s="50" t="s">
        <v>339</v>
      </c>
      <c r="C23" s="50" t="s">
        <v>302</v>
      </c>
      <c r="D23" s="50">
        <v>234</v>
      </c>
      <c r="AA23" s="51" t="s">
        <v>206</v>
      </c>
      <c r="AB23" t="s">
        <v>314</v>
      </c>
      <c r="AD23" t="s">
        <v>3</v>
      </c>
    </row>
    <row r="24" spans="1:31" x14ac:dyDescent="0.35">
      <c r="A24" s="50" t="s">
        <v>341</v>
      </c>
      <c r="B24" s="50" t="s">
        <v>339</v>
      </c>
      <c r="C24" s="50" t="s">
        <v>342</v>
      </c>
      <c r="D24" s="50">
        <v>37</v>
      </c>
      <c r="AA24" s="26" t="s">
        <v>165</v>
      </c>
      <c r="AB24" t="s">
        <v>314</v>
      </c>
      <c r="AD24" t="s">
        <v>3</v>
      </c>
      <c r="AE24" t="s">
        <v>305</v>
      </c>
    </row>
    <row r="25" spans="1:31" x14ac:dyDescent="0.35">
      <c r="A25" s="50" t="s">
        <v>341</v>
      </c>
      <c r="B25" s="50" t="s">
        <v>339</v>
      </c>
      <c r="C25" s="50" t="s">
        <v>342</v>
      </c>
      <c r="D25" s="50">
        <v>0</v>
      </c>
      <c r="AA25" s="51" t="s">
        <v>102</v>
      </c>
      <c r="AB25" t="s">
        <v>314</v>
      </c>
      <c r="AD25" t="s">
        <v>3</v>
      </c>
    </row>
    <row r="26" spans="1:31" x14ac:dyDescent="0.35">
      <c r="A26" s="50" t="s">
        <v>587</v>
      </c>
      <c r="B26" s="50" t="s">
        <v>339</v>
      </c>
      <c r="C26" s="50" t="s">
        <v>343</v>
      </c>
      <c r="D26" s="50">
        <v>407</v>
      </c>
      <c r="AA26" s="26" t="s">
        <v>30</v>
      </c>
      <c r="AB26" t="s">
        <v>314</v>
      </c>
      <c r="AD26" t="s">
        <v>3</v>
      </c>
    </row>
    <row r="27" spans="1:31" x14ac:dyDescent="0.35">
      <c r="A27" s="50" t="s">
        <v>587</v>
      </c>
      <c r="B27" s="50" t="s">
        <v>339</v>
      </c>
      <c r="C27" s="50" t="s">
        <v>343</v>
      </c>
      <c r="D27" s="50">
        <v>0</v>
      </c>
      <c r="AA27" s="51" t="s">
        <v>207</v>
      </c>
      <c r="AB27" t="s">
        <v>314</v>
      </c>
      <c r="AD27" t="s">
        <v>3</v>
      </c>
    </row>
    <row r="28" spans="1:31" x14ac:dyDescent="0.35">
      <c r="A28" s="50" t="s">
        <v>588</v>
      </c>
      <c r="B28" s="50" t="s">
        <v>339</v>
      </c>
      <c r="C28" s="50" t="s">
        <v>344</v>
      </c>
      <c r="D28" s="50">
        <v>0</v>
      </c>
      <c r="AA28" s="26" t="s">
        <v>166</v>
      </c>
      <c r="AB28" t="s">
        <v>314</v>
      </c>
      <c r="AD28" t="s">
        <v>3</v>
      </c>
      <c r="AE28" t="s">
        <v>305</v>
      </c>
    </row>
    <row r="29" spans="1:31" x14ac:dyDescent="0.35">
      <c r="A29" s="50" t="s">
        <v>588</v>
      </c>
      <c r="B29" s="50" t="s">
        <v>339</v>
      </c>
      <c r="C29" s="50" t="s">
        <v>344</v>
      </c>
      <c r="D29" s="50">
        <v>0</v>
      </c>
      <c r="AA29" s="51" t="s">
        <v>6</v>
      </c>
      <c r="AB29" t="s">
        <v>314</v>
      </c>
      <c r="AD29" t="s">
        <v>3</v>
      </c>
    </row>
    <row r="30" spans="1:31" x14ac:dyDescent="0.35">
      <c r="A30" s="50" t="s">
        <v>589</v>
      </c>
      <c r="B30" s="50" t="s">
        <v>339</v>
      </c>
      <c r="C30" s="50" t="s">
        <v>345</v>
      </c>
      <c r="D30" s="50">
        <v>646</v>
      </c>
      <c r="AA30" s="26" t="s">
        <v>32</v>
      </c>
      <c r="AB30" t="s">
        <v>314</v>
      </c>
      <c r="AD30" t="s">
        <v>3</v>
      </c>
    </row>
    <row r="31" spans="1:31" x14ac:dyDescent="0.35">
      <c r="A31" s="50" t="s">
        <v>589</v>
      </c>
      <c r="B31" s="50" t="s">
        <v>339</v>
      </c>
      <c r="C31" s="50" t="s">
        <v>345</v>
      </c>
      <c r="D31" s="50">
        <v>0</v>
      </c>
      <c r="AA31" s="51" t="s">
        <v>208</v>
      </c>
      <c r="AB31" t="s">
        <v>314</v>
      </c>
      <c r="AD31" t="s">
        <v>3</v>
      </c>
    </row>
    <row r="32" spans="1:31" x14ac:dyDescent="0.35">
      <c r="A32" s="50" t="s">
        <v>590</v>
      </c>
      <c r="B32" s="50" t="s">
        <v>339</v>
      </c>
      <c r="C32" s="50" t="s">
        <v>346</v>
      </c>
      <c r="D32" s="50">
        <v>0</v>
      </c>
      <c r="AA32" s="26" t="s">
        <v>167</v>
      </c>
      <c r="AB32" t="s">
        <v>314</v>
      </c>
      <c r="AD32" t="s">
        <v>3</v>
      </c>
      <c r="AE32" t="s">
        <v>305</v>
      </c>
    </row>
    <row r="33" spans="1:30" x14ac:dyDescent="0.35">
      <c r="A33" s="50" t="s">
        <v>590</v>
      </c>
      <c r="B33" s="50" t="s">
        <v>339</v>
      </c>
      <c r="C33" s="50" t="s">
        <v>346</v>
      </c>
      <c r="D33" s="50">
        <v>302</v>
      </c>
      <c r="AA33" s="51" t="s">
        <v>111</v>
      </c>
      <c r="AD33" t="s">
        <v>3</v>
      </c>
    </row>
    <row r="34" spans="1:30" x14ac:dyDescent="0.35">
      <c r="A34" s="50" t="s">
        <v>347</v>
      </c>
      <c r="B34" s="50" t="s">
        <v>339</v>
      </c>
      <c r="C34" s="50" t="s">
        <v>348</v>
      </c>
      <c r="D34" s="50">
        <v>0</v>
      </c>
      <c r="AA34" s="26" t="s">
        <v>168</v>
      </c>
      <c r="AD34" t="s">
        <v>3</v>
      </c>
    </row>
    <row r="35" spans="1:30" x14ac:dyDescent="0.35">
      <c r="A35" s="50" t="s">
        <v>349</v>
      </c>
      <c r="B35" s="50" t="s">
        <v>339</v>
      </c>
      <c r="C35" s="50" t="s">
        <v>350</v>
      </c>
      <c r="D35" s="50">
        <v>2</v>
      </c>
      <c r="AA35" s="49" t="s">
        <v>213</v>
      </c>
      <c r="AD35" t="s">
        <v>3</v>
      </c>
    </row>
    <row r="36" spans="1:30" x14ac:dyDescent="0.35">
      <c r="A36" s="50" t="s">
        <v>349</v>
      </c>
      <c r="B36" s="50" t="s">
        <v>339</v>
      </c>
      <c r="C36" s="50" t="s">
        <v>350</v>
      </c>
      <c r="D36" s="50">
        <v>0</v>
      </c>
      <c r="AA36" s="26" t="s">
        <v>15</v>
      </c>
      <c r="AB36" t="s">
        <v>314</v>
      </c>
      <c r="AD36" t="s">
        <v>3</v>
      </c>
    </row>
    <row r="37" spans="1:30" x14ac:dyDescent="0.35">
      <c r="A37" s="50" t="s">
        <v>692</v>
      </c>
      <c r="B37" s="50" t="s">
        <v>351</v>
      </c>
      <c r="C37" s="50" t="s">
        <v>352</v>
      </c>
      <c r="D37" s="50">
        <v>1</v>
      </c>
      <c r="AA37" s="51" t="s">
        <v>16</v>
      </c>
      <c r="AB37" t="s">
        <v>314</v>
      </c>
      <c r="AD37" t="s">
        <v>3</v>
      </c>
    </row>
    <row r="38" spans="1:30" x14ac:dyDescent="0.35">
      <c r="A38" s="50" t="s">
        <v>157</v>
      </c>
      <c r="B38" s="50" t="s">
        <v>351</v>
      </c>
      <c r="C38" s="50" t="s">
        <v>353</v>
      </c>
      <c r="D38" s="50">
        <v>20</v>
      </c>
      <c r="AA38" s="26" t="s">
        <v>17</v>
      </c>
      <c r="AB38" t="s">
        <v>314</v>
      </c>
      <c r="AD38" t="s">
        <v>3</v>
      </c>
    </row>
    <row r="39" spans="1:30" x14ac:dyDescent="0.35">
      <c r="A39" s="50" t="s">
        <v>101</v>
      </c>
      <c r="B39" s="50" t="s">
        <v>351</v>
      </c>
      <c r="C39" s="50" t="s">
        <v>354</v>
      </c>
      <c r="D39" s="50">
        <v>15</v>
      </c>
      <c r="AA39" s="51" t="s">
        <v>139</v>
      </c>
      <c r="AB39" t="s">
        <v>314</v>
      </c>
      <c r="AD39" t="s">
        <v>3</v>
      </c>
    </row>
    <row r="40" spans="1:30" x14ac:dyDescent="0.35">
      <c r="A40" s="50" t="s">
        <v>95</v>
      </c>
      <c r="B40" s="50" t="s">
        <v>351</v>
      </c>
      <c r="C40" s="50" t="s">
        <v>355</v>
      </c>
      <c r="D40" s="50">
        <v>10</v>
      </c>
      <c r="AA40" s="26" t="s">
        <v>18</v>
      </c>
      <c r="AB40" t="s">
        <v>314</v>
      </c>
      <c r="AD40" t="s">
        <v>3</v>
      </c>
    </row>
    <row r="41" spans="1:30" x14ac:dyDescent="0.35">
      <c r="A41" s="50" t="s">
        <v>93</v>
      </c>
      <c r="B41" s="50" t="s">
        <v>351</v>
      </c>
      <c r="C41" s="50" t="s">
        <v>356</v>
      </c>
      <c r="D41" s="50">
        <v>21</v>
      </c>
      <c r="AA41" s="51" t="s">
        <v>214</v>
      </c>
      <c r="AB41" t="s">
        <v>314</v>
      </c>
      <c r="AD41" t="s">
        <v>3</v>
      </c>
    </row>
    <row r="42" spans="1:30" x14ac:dyDescent="0.35">
      <c r="A42" s="50" t="s">
        <v>114</v>
      </c>
      <c r="B42" s="50" t="s">
        <v>351</v>
      </c>
      <c r="C42" s="50" t="s">
        <v>357</v>
      </c>
      <c r="D42" s="50">
        <v>50</v>
      </c>
      <c r="AA42" s="26" t="s">
        <v>19</v>
      </c>
      <c r="AB42" t="s">
        <v>314</v>
      </c>
      <c r="AD42" t="s">
        <v>3</v>
      </c>
    </row>
    <row r="43" spans="1:30" x14ac:dyDescent="0.35">
      <c r="A43" s="50" t="s">
        <v>92</v>
      </c>
      <c r="B43" s="50" t="s">
        <v>351</v>
      </c>
      <c r="C43" s="50" t="s">
        <v>358</v>
      </c>
      <c r="D43" s="50">
        <v>88</v>
      </c>
      <c r="AA43" s="51" t="s">
        <v>135</v>
      </c>
      <c r="AB43" t="s">
        <v>314</v>
      </c>
      <c r="AD43" t="s">
        <v>3</v>
      </c>
    </row>
    <row r="44" spans="1:30" x14ac:dyDescent="0.35">
      <c r="A44" s="50" t="s">
        <v>113</v>
      </c>
      <c r="B44" s="50" t="s">
        <v>351</v>
      </c>
      <c r="C44" s="50" t="s">
        <v>764</v>
      </c>
      <c r="D44" s="50">
        <v>26</v>
      </c>
      <c r="AA44" s="26" t="s">
        <v>136</v>
      </c>
      <c r="AB44" t="s">
        <v>314</v>
      </c>
      <c r="AD44" t="s">
        <v>3</v>
      </c>
    </row>
    <row r="45" spans="1:30" x14ac:dyDescent="0.35">
      <c r="A45" s="50" t="s">
        <v>91</v>
      </c>
      <c r="B45" s="50" t="s">
        <v>351</v>
      </c>
      <c r="C45" s="50" t="s">
        <v>359</v>
      </c>
      <c r="D45" s="50">
        <v>1</v>
      </c>
      <c r="AA45" s="51" t="s">
        <v>7</v>
      </c>
      <c r="AB45" t="s">
        <v>314</v>
      </c>
      <c r="AD45" t="s">
        <v>3</v>
      </c>
    </row>
    <row r="46" spans="1:30" x14ac:dyDescent="0.35">
      <c r="A46" s="50" t="s">
        <v>90</v>
      </c>
      <c r="B46" s="50" t="s">
        <v>351</v>
      </c>
      <c r="C46" s="50" t="s">
        <v>360</v>
      </c>
      <c r="D46" s="50">
        <v>2</v>
      </c>
      <c r="AA46" s="26" t="s">
        <v>147</v>
      </c>
      <c r="AB46" t="s">
        <v>314</v>
      </c>
      <c r="AD46" t="s">
        <v>3</v>
      </c>
    </row>
    <row r="47" spans="1:30" x14ac:dyDescent="0.35">
      <c r="A47" s="50" t="s">
        <v>88</v>
      </c>
      <c r="B47" s="50" t="s">
        <v>351</v>
      </c>
      <c r="C47" s="50" t="s">
        <v>361</v>
      </c>
      <c r="D47" s="50">
        <v>0</v>
      </c>
      <c r="AA47" s="51" t="s">
        <v>20</v>
      </c>
      <c r="AB47" t="s">
        <v>314</v>
      </c>
      <c r="AD47" t="s">
        <v>3</v>
      </c>
    </row>
    <row r="48" spans="1:30" x14ac:dyDescent="0.35">
      <c r="A48" s="50" t="s">
        <v>212</v>
      </c>
      <c r="B48" s="50" t="s">
        <v>351</v>
      </c>
      <c r="C48" s="50" t="s">
        <v>362</v>
      </c>
      <c r="D48" s="50">
        <v>4</v>
      </c>
      <c r="AA48" s="26" t="s">
        <v>21</v>
      </c>
      <c r="AB48" t="s">
        <v>314</v>
      </c>
      <c r="AD48" t="s">
        <v>3</v>
      </c>
    </row>
    <row r="49" spans="1:30" x14ac:dyDescent="0.35">
      <c r="A49" s="50" t="s">
        <v>181</v>
      </c>
      <c r="B49" s="50" t="s">
        <v>351</v>
      </c>
      <c r="C49" s="50" t="s">
        <v>363</v>
      </c>
      <c r="D49" s="50">
        <v>1</v>
      </c>
      <c r="AA49" s="51" t="s">
        <v>172</v>
      </c>
      <c r="AB49" t="s">
        <v>314</v>
      </c>
      <c r="AD49" t="s">
        <v>3</v>
      </c>
    </row>
    <row r="50" spans="1:30" x14ac:dyDescent="0.35">
      <c r="A50" s="50" t="s">
        <v>211</v>
      </c>
      <c r="B50" s="50" t="s">
        <v>351</v>
      </c>
      <c r="C50" s="50" t="s">
        <v>364</v>
      </c>
      <c r="D50" s="50">
        <v>40</v>
      </c>
      <c r="AA50" s="51" t="s">
        <v>22</v>
      </c>
      <c r="AB50" t="s">
        <v>314</v>
      </c>
      <c r="AD50" t="s">
        <v>3</v>
      </c>
    </row>
    <row r="51" spans="1:30" x14ac:dyDescent="0.35">
      <c r="A51" s="50" t="s">
        <v>210</v>
      </c>
      <c r="B51" s="50" t="s">
        <v>351</v>
      </c>
      <c r="C51" s="50" t="s">
        <v>609</v>
      </c>
      <c r="D51" s="48">
        <v>7</v>
      </c>
      <c r="AA51" s="26" t="s">
        <v>145</v>
      </c>
      <c r="AB51" t="s">
        <v>314</v>
      </c>
      <c r="AD51" t="s">
        <v>3</v>
      </c>
    </row>
    <row r="52" spans="1:30" x14ac:dyDescent="0.35">
      <c r="A52" s="50" t="s">
        <v>115</v>
      </c>
      <c r="B52" s="50" t="s">
        <v>351</v>
      </c>
      <c r="C52" s="50" t="s">
        <v>365</v>
      </c>
      <c r="D52" s="48">
        <v>25</v>
      </c>
      <c r="AA52" s="51" t="s">
        <v>144</v>
      </c>
      <c r="AB52" t="s">
        <v>314</v>
      </c>
      <c r="AD52" t="s">
        <v>3</v>
      </c>
    </row>
    <row r="53" spans="1:30" x14ac:dyDescent="0.35">
      <c r="A53" s="50" t="s">
        <v>192</v>
      </c>
      <c r="B53" s="50" t="s">
        <v>351</v>
      </c>
      <c r="C53" s="50" t="s">
        <v>366</v>
      </c>
      <c r="D53" s="48">
        <v>17</v>
      </c>
      <c r="AA53" s="26" t="s">
        <v>23</v>
      </c>
      <c r="AB53" t="s">
        <v>314</v>
      </c>
      <c r="AD53" t="s">
        <v>3</v>
      </c>
    </row>
    <row r="54" spans="1:30" x14ac:dyDescent="0.35">
      <c r="A54" s="50" t="s">
        <v>186</v>
      </c>
      <c r="B54" s="50" t="s">
        <v>351</v>
      </c>
      <c r="C54" s="50" t="s">
        <v>367</v>
      </c>
      <c r="D54" s="48">
        <v>4</v>
      </c>
      <c r="AA54" s="51" t="s">
        <v>25</v>
      </c>
      <c r="AB54" t="s">
        <v>314</v>
      </c>
      <c r="AD54" t="s">
        <v>3</v>
      </c>
    </row>
    <row r="55" spans="1:30" x14ac:dyDescent="0.35">
      <c r="A55" s="50" t="s">
        <v>182</v>
      </c>
      <c r="B55" s="50" t="s">
        <v>351</v>
      </c>
      <c r="C55" s="50" t="s">
        <v>368</v>
      </c>
      <c r="D55" s="48">
        <v>3</v>
      </c>
      <c r="AA55" s="26" t="s">
        <v>26</v>
      </c>
      <c r="AB55" t="s">
        <v>314</v>
      </c>
      <c r="AD55" t="s">
        <v>3</v>
      </c>
    </row>
    <row r="56" spans="1:30" x14ac:dyDescent="0.35">
      <c r="A56" s="50" t="s">
        <v>697</v>
      </c>
      <c r="B56" s="50" t="s">
        <v>351</v>
      </c>
      <c r="C56" s="50" t="s">
        <v>706</v>
      </c>
      <c r="D56" s="48">
        <v>0</v>
      </c>
      <c r="AA56" s="51" t="s">
        <v>148</v>
      </c>
      <c r="AB56" t="s">
        <v>314</v>
      </c>
      <c r="AD56" t="s">
        <v>3</v>
      </c>
    </row>
    <row r="57" spans="1:30" x14ac:dyDescent="0.35">
      <c r="A57" s="50" t="s">
        <v>200</v>
      </c>
      <c r="B57" s="50" t="s">
        <v>351</v>
      </c>
      <c r="C57" s="50" t="s">
        <v>200</v>
      </c>
      <c r="D57" s="48">
        <v>1</v>
      </c>
      <c r="AA57" s="26" t="s">
        <v>173</v>
      </c>
      <c r="AB57" t="s">
        <v>314</v>
      </c>
      <c r="AD57" t="s">
        <v>3</v>
      </c>
    </row>
    <row r="58" spans="1:30" x14ac:dyDescent="0.35">
      <c r="A58" s="50" t="s">
        <v>164</v>
      </c>
      <c r="B58" s="50" t="s">
        <v>351</v>
      </c>
      <c r="C58" s="50" t="s">
        <v>765</v>
      </c>
      <c r="D58" s="48">
        <v>1</v>
      </c>
      <c r="AA58" s="51" t="s">
        <v>27</v>
      </c>
      <c r="AB58" t="s">
        <v>314</v>
      </c>
      <c r="AD58" t="s">
        <v>3</v>
      </c>
    </row>
    <row r="59" spans="1:30" x14ac:dyDescent="0.35">
      <c r="A59" s="50" t="s">
        <v>707</v>
      </c>
      <c r="B59" s="50" t="s">
        <v>351</v>
      </c>
      <c r="C59" s="50" t="s">
        <v>707</v>
      </c>
      <c r="D59" s="48">
        <v>2</v>
      </c>
      <c r="AA59" s="26" t="s">
        <v>146</v>
      </c>
      <c r="AB59" t="s">
        <v>314</v>
      </c>
      <c r="AD59" t="s">
        <v>3</v>
      </c>
    </row>
    <row r="60" spans="1:30" x14ac:dyDescent="0.35">
      <c r="A60" s="50" t="s">
        <v>194</v>
      </c>
      <c r="B60" s="50" t="s">
        <v>351</v>
      </c>
      <c r="C60" s="50" t="s">
        <v>194</v>
      </c>
      <c r="D60" s="48">
        <v>4</v>
      </c>
      <c r="AA60" s="51" t="s">
        <v>149</v>
      </c>
      <c r="AB60" t="s">
        <v>314</v>
      </c>
      <c r="AD60" t="s">
        <v>3</v>
      </c>
    </row>
    <row r="61" spans="1:30" x14ac:dyDescent="0.35">
      <c r="A61" s="50" t="s">
        <v>142</v>
      </c>
      <c r="B61" s="50" t="s">
        <v>351</v>
      </c>
      <c r="C61" s="50" t="s">
        <v>142</v>
      </c>
      <c r="D61" s="48">
        <v>17</v>
      </c>
      <c r="AA61" s="26" t="s">
        <v>28</v>
      </c>
      <c r="AB61" t="s">
        <v>314</v>
      </c>
      <c r="AD61" t="s">
        <v>3</v>
      </c>
    </row>
    <row r="62" spans="1:30" x14ac:dyDescent="0.35">
      <c r="A62" s="50" t="s">
        <v>169</v>
      </c>
      <c r="B62" s="50" t="s">
        <v>351</v>
      </c>
      <c r="C62" s="50" t="s">
        <v>169</v>
      </c>
      <c r="D62" s="48">
        <v>16</v>
      </c>
      <c r="AA62" s="51" t="s">
        <v>29</v>
      </c>
      <c r="AB62" t="s">
        <v>314</v>
      </c>
      <c r="AD62" t="s">
        <v>3</v>
      </c>
    </row>
    <row r="63" spans="1:30" x14ac:dyDescent="0.35">
      <c r="A63" s="50" t="s">
        <v>143</v>
      </c>
      <c r="B63" s="50" t="s">
        <v>351</v>
      </c>
      <c r="C63" s="50" t="s">
        <v>143</v>
      </c>
      <c r="D63" s="48">
        <v>13</v>
      </c>
      <c r="AA63" s="26" t="s">
        <v>31</v>
      </c>
      <c r="AB63" t="s">
        <v>314</v>
      </c>
      <c r="AD63" t="s">
        <v>3</v>
      </c>
    </row>
    <row r="64" spans="1:30" x14ac:dyDescent="0.35">
      <c r="A64" s="50" t="s">
        <v>170</v>
      </c>
      <c r="B64" s="50" t="s">
        <v>351</v>
      </c>
      <c r="C64" s="50" t="s">
        <v>170</v>
      </c>
      <c r="D64" s="48">
        <v>30</v>
      </c>
      <c r="AA64" s="51" t="s">
        <v>174</v>
      </c>
      <c r="AB64" t="s">
        <v>314</v>
      </c>
      <c r="AD64" t="s">
        <v>3</v>
      </c>
    </row>
    <row r="65" spans="1:31" x14ac:dyDescent="0.35">
      <c r="A65" s="50" t="s">
        <v>195</v>
      </c>
      <c r="B65" s="50" t="s">
        <v>351</v>
      </c>
      <c r="C65" s="50" t="s">
        <v>195</v>
      </c>
      <c r="D65" s="48">
        <v>0</v>
      </c>
      <c r="AA65" s="26" t="s">
        <v>196</v>
      </c>
      <c r="AB65" t="s">
        <v>314</v>
      </c>
      <c r="AD65" t="s">
        <v>3</v>
      </c>
    </row>
    <row r="66" spans="1:31" x14ac:dyDescent="0.35">
      <c r="A66" s="50" t="s">
        <v>708</v>
      </c>
      <c r="B66" s="50" t="s">
        <v>351</v>
      </c>
      <c r="C66" s="50" t="s">
        <v>709</v>
      </c>
      <c r="D66" s="48">
        <v>0</v>
      </c>
      <c r="AA66" s="51" t="s">
        <v>159</v>
      </c>
      <c r="AB66" t="s">
        <v>314</v>
      </c>
      <c r="AD66" t="s">
        <v>3</v>
      </c>
    </row>
    <row r="67" spans="1:31" x14ac:dyDescent="0.35">
      <c r="A67" s="50" t="s">
        <v>369</v>
      </c>
      <c r="B67" s="50" t="s">
        <v>351</v>
      </c>
      <c r="C67" s="50" t="s">
        <v>369</v>
      </c>
      <c r="D67" s="48">
        <v>9</v>
      </c>
      <c r="AA67" s="51" t="s">
        <v>160</v>
      </c>
      <c r="AB67" t="s">
        <v>314</v>
      </c>
      <c r="AD67" t="s">
        <v>3</v>
      </c>
    </row>
    <row r="68" spans="1:31" x14ac:dyDescent="0.35">
      <c r="A68" s="50" t="s">
        <v>199</v>
      </c>
      <c r="B68" s="50" t="s">
        <v>351</v>
      </c>
      <c r="C68" s="50" t="s">
        <v>199</v>
      </c>
      <c r="D68" s="48">
        <v>2</v>
      </c>
      <c r="AA68" s="26" t="s">
        <v>188</v>
      </c>
      <c r="AB68" t="s">
        <v>314</v>
      </c>
      <c r="AD68" t="s">
        <v>3</v>
      </c>
    </row>
    <row r="69" spans="1:31" x14ac:dyDescent="0.35">
      <c r="A69" s="50" t="s">
        <v>732</v>
      </c>
      <c r="B69" s="50" t="s">
        <v>351</v>
      </c>
      <c r="C69" s="50" t="s">
        <v>732</v>
      </c>
      <c r="D69" s="48">
        <v>0</v>
      </c>
      <c r="AA69" s="51" t="s">
        <v>33</v>
      </c>
      <c r="AB69" t="s">
        <v>314</v>
      </c>
      <c r="AD69" t="s">
        <v>3</v>
      </c>
      <c r="AE69" t="s">
        <v>305</v>
      </c>
    </row>
    <row r="70" spans="1:31" x14ac:dyDescent="0.35">
      <c r="A70" s="50" t="s">
        <v>710</v>
      </c>
      <c r="B70" s="50" t="s">
        <v>351</v>
      </c>
      <c r="C70" s="50" t="s">
        <v>710</v>
      </c>
      <c r="D70" s="48">
        <v>0</v>
      </c>
      <c r="AA70" s="26" t="s">
        <v>8</v>
      </c>
      <c r="AB70" t="s">
        <v>314</v>
      </c>
      <c r="AD70" t="s">
        <v>3</v>
      </c>
      <c r="AE70" t="s">
        <v>305</v>
      </c>
    </row>
    <row r="71" spans="1:31" x14ac:dyDescent="0.35">
      <c r="A71" s="50" t="s">
        <v>341</v>
      </c>
      <c r="B71" s="50" t="s">
        <v>372</v>
      </c>
      <c r="C71" s="50" t="s">
        <v>342</v>
      </c>
      <c r="D71" s="48">
        <v>37</v>
      </c>
      <c r="AA71" s="51" t="s">
        <v>34</v>
      </c>
      <c r="AB71" t="s">
        <v>314</v>
      </c>
      <c r="AD71" t="s">
        <v>3</v>
      </c>
      <c r="AE71" t="s">
        <v>305</v>
      </c>
    </row>
    <row r="72" spans="1:31" x14ac:dyDescent="0.35">
      <c r="A72" s="50" t="s">
        <v>341</v>
      </c>
      <c r="B72" s="50" t="s">
        <v>372</v>
      </c>
      <c r="C72" s="50" t="s">
        <v>342</v>
      </c>
      <c r="D72" s="48">
        <v>0</v>
      </c>
      <c r="AA72" s="26" t="s">
        <v>129</v>
      </c>
      <c r="AB72" t="s">
        <v>314</v>
      </c>
      <c r="AD72" t="s">
        <v>3</v>
      </c>
      <c r="AE72" t="s">
        <v>305</v>
      </c>
    </row>
    <row r="73" spans="1:31" x14ac:dyDescent="0.35">
      <c r="A73" s="50" t="s">
        <v>373</v>
      </c>
      <c r="B73" s="50" t="s">
        <v>372</v>
      </c>
      <c r="C73" s="50" t="s">
        <v>374</v>
      </c>
      <c r="D73" s="48">
        <v>27</v>
      </c>
      <c r="AA73" s="51" t="s">
        <v>35</v>
      </c>
      <c r="AB73" t="s">
        <v>314</v>
      </c>
      <c r="AD73" t="s">
        <v>3</v>
      </c>
      <c r="AE73" t="s">
        <v>305</v>
      </c>
    </row>
    <row r="74" spans="1:31" x14ac:dyDescent="0.35">
      <c r="A74" s="50" t="s">
        <v>370</v>
      </c>
      <c r="B74" s="50" t="s">
        <v>372</v>
      </c>
      <c r="C74" s="50" t="s">
        <v>371</v>
      </c>
      <c r="D74" s="48">
        <v>28</v>
      </c>
      <c r="AA74" s="26" t="s">
        <v>36</v>
      </c>
      <c r="AB74" t="s">
        <v>314</v>
      </c>
      <c r="AD74" t="s">
        <v>3</v>
      </c>
      <c r="AE74" t="s">
        <v>305</v>
      </c>
    </row>
    <row r="75" spans="1:31" x14ac:dyDescent="0.35">
      <c r="A75" s="50" t="s">
        <v>98</v>
      </c>
      <c r="B75" s="50" t="s">
        <v>375</v>
      </c>
      <c r="C75" s="50" t="s">
        <v>376</v>
      </c>
      <c r="D75" s="48">
        <v>6</v>
      </c>
      <c r="AA75" s="51" t="s">
        <v>137</v>
      </c>
      <c r="AB75" t="s">
        <v>314</v>
      </c>
      <c r="AD75" t="s">
        <v>3</v>
      </c>
      <c r="AE75" t="s">
        <v>305</v>
      </c>
    </row>
    <row r="76" spans="1:31" x14ac:dyDescent="0.35">
      <c r="A76" s="50" t="s">
        <v>99</v>
      </c>
      <c r="B76" s="50" t="s">
        <v>375</v>
      </c>
      <c r="C76" s="50" t="s">
        <v>377</v>
      </c>
      <c r="D76" s="48">
        <v>15</v>
      </c>
      <c r="AA76" s="26" t="s">
        <v>37</v>
      </c>
      <c r="AB76" t="s">
        <v>314</v>
      </c>
      <c r="AD76" t="s">
        <v>3</v>
      </c>
      <c r="AE76" t="s">
        <v>305</v>
      </c>
    </row>
    <row r="77" spans="1:31" x14ac:dyDescent="0.35">
      <c r="A77" s="50" t="s">
        <v>100</v>
      </c>
      <c r="B77" s="50" t="s">
        <v>375</v>
      </c>
      <c r="C77" s="50" t="s">
        <v>378</v>
      </c>
      <c r="D77" s="48">
        <v>25</v>
      </c>
      <c r="AA77" s="51" t="s">
        <v>38</v>
      </c>
      <c r="AB77" t="s">
        <v>314</v>
      </c>
      <c r="AD77" t="s">
        <v>3</v>
      </c>
      <c r="AE77" t="s">
        <v>305</v>
      </c>
    </row>
    <row r="78" spans="1:31" x14ac:dyDescent="0.35">
      <c r="A78" s="50" t="s">
        <v>107</v>
      </c>
      <c r="B78" s="50" t="s">
        <v>375</v>
      </c>
      <c r="C78" s="50" t="s">
        <v>379</v>
      </c>
      <c r="D78" s="48">
        <v>5</v>
      </c>
      <c r="AA78" s="26" t="s">
        <v>39</v>
      </c>
      <c r="AB78" t="s">
        <v>314</v>
      </c>
      <c r="AD78" t="s">
        <v>3</v>
      </c>
      <c r="AE78" t="s">
        <v>305</v>
      </c>
    </row>
    <row r="79" spans="1:31" x14ac:dyDescent="0.35">
      <c r="A79" s="50" t="s">
        <v>108</v>
      </c>
      <c r="B79" s="50" t="s">
        <v>375</v>
      </c>
      <c r="C79" s="50" t="s">
        <v>379</v>
      </c>
      <c r="D79" s="48">
        <v>1</v>
      </c>
      <c r="AA79" s="51" t="s">
        <v>138</v>
      </c>
      <c r="AB79" t="s">
        <v>314</v>
      </c>
      <c r="AD79" t="s">
        <v>3</v>
      </c>
      <c r="AE79" t="s">
        <v>305</v>
      </c>
    </row>
    <row r="80" spans="1:31" x14ac:dyDescent="0.35">
      <c r="A80" s="50" t="s">
        <v>4</v>
      </c>
      <c r="B80" s="50" t="s">
        <v>375</v>
      </c>
      <c r="C80" s="50" t="s">
        <v>380</v>
      </c>
      <c r="D80" s="48">
        <v>13</v>
      </c>
      <c r="AA80" s="51" t="s">
        <v>40</v>
      </c>
      <c r="AD80" t="s">
        <v>3</v>
      </c>
      <c r="AE80" t="s">
        <v>305</v>
      </c>
    </row>
    <row r="81" spans="1:31" x14ac:dyDescent="0.35">
      <c r="A81" s="50" t="s">
        <v>96</v>
      </c>
      <c r="B81" s="50" t="s">
        <v>375</v>
      </c>
      <c r="C81" s="50" t="s">
        <v>381</v>
      </c>
      <c r="D81" s="48">
        <v>18</v>
      </c>
      <c r="AA81" s="26" t="s">
        <v>197</v>
      </c>
      <c r="AD81" t="s">
        <v>3</v>
      </c>
      <c r="AE81" t="s">
        <v>305</v>
      </c>
    </row>
    <row r="82" spans="1:31" x14ac:dyDescent="0.35">
      <c r="A82" s="50" t="s">
        <v>97</v>
      </c>
      <c r="B82" s="50" t="s">
        <v>375</v>
      </c>
      <c r="C82" s="50" t="s">
        <v>382</v>
      </c>
      <c r="D82" s="48">
        <v>15</v>
      </c>
      <c r="AA82" s="51" t="s">
        <v>215</v>
      </c>
      <c r="AD82" t="s">
        <v>3</v>
      </c>
      <c r="AE82" t="s">
        <v>305</v>
      </c>
    </row>
    <row r="83" spans="1:31" x14ac:dyDescent="0.35">
      <c r="A83" s="50" t="s">
        <v>104</v>
      </c>
      <c r="B83" s="50" t="s">
        <v>375</v>
      </c>
      <c r="C83" s="50" t="s">
        <v>383</v>
      </c>
      <c r="D83" s="48">
        <v>0</v>
      </c>
      <c r="AA83" s="26" t="s">
        <v>171</v>
      </c>
      <c r="AD83" t="s">
        <v>3</v>
      </c>
      <c r="AE83" t="s">
        <v>305</v>
      </c>
    </row>
    <row r="84" spans="1:31" x14ac:dyDescent="0.35">
      <c r="A84" s="50" t="s">
        <v>106</v>
      </c>
      <c r="B84" s="50" t="s">
        <v>375</v>
      </c>
      <c r="C84" s="50" t="s">
        <v>383</v>
      </c>
      <c r="D84" s="48">
        <v>1</v>
      </c>
      <c r="AA84" s="51" t="s">
        <v>175</v>
      </c>
      <c r="AD84" t="s">
        <v>3</v>
      </c>
      <c r="AE84" t="s">
        <v>305</v>
      </c>
    </row>
    <row r="85" spans="1:31" x14ac:dyDescent="0.35">
      <c r="A85" s="50" t="s">
        <v>105</v>
      </c>
      <c r="B85" s="50" t="s">
        <v>375</v>
      </c>
      <c r="C85" s="50" t="s">
        <v>383</v>
      </c>
      <c r="D85" s="48">
        <v>7</v>
      </c>
      <c r="AA85" s="26" t="s">
        <v>161</v>
      </c>
      <c r="AD85" t="s">
        <v>3</v>
      </c>
      <c r="AE85" t="s">
        <v>305</v>
      </c>
    </row>
    <row r="86" spans="1:31" x14ac:dyDescent="0.35">
      <c r="A86" s="50" t="s">
        <v>88</v>
      </c>
      <c r="B86" s="50" t="s">
        <v>375</v>
      </c>
      <c r="C86" s="50" t="s">
        <v>384</v>
      </c>
      <c r="D86" s="48">
        <v>0</v>
      </c>
      <c r="AA86" s="51" t="s">
        <v>109</v>
      </c>
      <c r="AD86" t="s">
        <v>3</v>
      </c>
      <c r="AE86" t="s">
        <v>305</v>
      </c>
    </row>
    <row r="87" spans="1:31" x14ac:dyDescent="0.35">
      <c r="A87" s="50" t="s">
        <v>88</v>
      </c>
      <c r="B87" s="50" t="s">
        <v>375</v>
      </c>
      <c r="C87" s="50" t="s">
        <v>384</v>
      </c>
      <c r="D87" s="48">
        <v>0</v>
      </c>
      <c r="AA87" s="51" t="s">
        <v>151</v>
      </c>
      <c r="AD87" t="s">
        <v>3</v>
      </c>
      <c r="AE87" t="s">
        <v>305</v>
      </c>
    </row>
    <row r="88" spans="1:31" x14ac:dyDescent="0.35">
      <c r="A88" s="50" t="s">
        <v>150</v>
      </c>
      <c r="B88" s="50" t="s">
        <v>375</v>
      </c>
      <c r="C88" s="50" t="s">
        <v>385</v>
      </c>
      <c r="D88" s="48">
        <v>8</v>
      </c>
      <c r="AA88" s="26" t="s">
        <v>299</v>
      </c>
      <c r="AD88" t="s">
        <v>3</v>
      </c>
      <c r="AE88" t="s">
        <v>305</v>
      </c>
    </row>
    <row r="89" spans="1:31" x14ac:dyDescent="0.35">
      <c r="A89" s="50" t="s">
        <v>70</v>
      </c>
      <c r="B89" s="50" t="s">
        <v>375</v>
      </c>
      <c r="C89" s="50" t="s">
        <v>386</v>
      </c>
      <c r="D89" s="48">
        <v>2</v>
      </c>
      <c r="AA89" s="51" t="s">
        <v>110</v>
      </c>
      <c r="AD89" t="s">
        <v>3</v>
      </c>
      <c r="AE89" t="s">
        <v>305</v>
      </c>
    </row>
    <row r="90" spans="1:31" x14ac:dyDescent="0.35">
      <c r="A90" s="50" t="s">
        <v>89</v>
      </c>
      <c r="B90" s="50" t="s">
        <v>375</v>
      </c>
      <c r="C90" s="50" t="s">
        <v>387</v>
      </c>
      <c r="D90" s="48">
        <v>3</v>
      </c>
      <c r="AA90" s="26" t="s">
        <v>69</v>
      </c>
    </row>
    <row r="91" spans="1:31" x14ac:dyDescent="0.35">
      <c r="A91" s="50" t="s">
        <v>88</v>
      </c>
      <c r="B91" s="50" t="s">
        <v>375</v>
      </c>
      <c r="C91" s="50" t="s">
        <v>361</v>
      </c>
      <c r="D91" s="48">
        <v>0</v>
      </c>
      <c r="AA91" s="51" t="s">
        <v>72</v>
      </c>
    </row>
    <row r="92" spans="1:31" x14ac:dyDescent="0.35">
      <c r="A92" s="50" t="s">
        <v>69</v>
      </c>
      <c r="B92" s="50" t="s">
        <v>375</v>
      </c>
      <c r="C92" s="50" t="s">
        <v>388</v>
      </c>
      <c r="D92" s="48">
        <v>3</v>
      </c>
      <c r="AA92" s="26" t="s">
        <v>116</v>
      </c>
    </row>
    <row r="93" spans="1:31" x14ac:dyDescent="0.35">
      <c r="A93" s="50" t="s">
        <v>73</v>
      </c>
      <c r="B93" s="50" t="s">
        <v>375</v>
      </c>
      <c r="C93" s="50" t="s">
        <v>389</v>
      </c>
      <c r="D93" s="48">
        <v>3</v>
      </c>
      <c r="AA93" s="51" t="s">
        <v>71</v>
      </c>
    </row>
    <row r="94" spans="1:31" x14ac:dyDescent="0.35">
      <c r="A94" s="50" t="s">
        <v>78</v>
      </c>
      <c r="B94" s="50" t="s">
        <v>375</v>
      </c>
      <c r="C94" s="50" t="s">
        <v>390</v>
      </c>
      <c r="D94" s="48">
        <v>6</v>
      </c>
      <c r="AA94" s="26" t="s">
        <v>70</v>
      </c>
    </row>
    <row r="95" spans="1:31" x14ac:dyDescent="0.35">
      <c r="A95" s="50" t="s">
        <v>85</v>
      </c>
      <c r="B95" s="50" t="s">
        <v>375</v>
      </c>
      <c r="C95" s="50" t="s">
        <v>391</v>
      </c>
      <c r="D95" s="48">
        <v>3</v>
      </c>
      <c r="AA95" s="26" t="s">
        <v>176</v>
      </c>
    </row>
    <row r="96" spans="1:31" x14ac:dyDescent="0.35">
      <c r="A96" s="50" t="s">
        <v>81</v>
      </c>
      <c r="B96" s="50" t="s">
        <v>375</v>
      </c>
      <c r="C96" s="50" t="s">
        <v>392</v>
      </c>
      <c r="D96" s="48">
        <v>5</v>
      </c>
      <c r="AA96" s="51" t="s">
        <v>73</v>
      </c>
    </row>
    <row r="97" spans="1:27" x14ac:dyDescent="0.35">
      <c r="A97" s="50" t="s">
        <v>80</v>
      </c>
      <c r="B97" s="50" t="s">
        <v>375</v>
      </c>
      <c r="C97" s="50" t="s">
        <v>393</v>
      </c>
      <c r="D97" s="48">
        <v>1</v>
      </c>
      <c r="AA97" s="26" t="s">
        <v>75</v>
      </c>
    </row>
    <row r="98" spans="1:27" x14ac:dyDescent="0.35">
      <c r="A98" s="50" t="s">
        <v>79</v>
      </c>
      <c r="B98" s="50" t="s">
        <v>375</v>
      </c>
      <c r="C98" s="50" t="s">
        <v>394</v>
      </c>
      <c r="D98" s="48">
        <v>5</v>
      </c>
      <c r="AA98" s="51" t="s">
        <v>77</v>
      </c>
    </row>
    <row r="99" spans="1:27" x14ac:dyDescent="0.35">
      <c r="A99" s="50" t="s">
        <v>83</v>
      </c>
      <c r="B99" s="50" t="s">
        <v>375</v>
      </c>
      <c r="C99" s="50" t="s">
        <v>395</v>
      </c>
      <c r="D99" s="48">
        <v>3</v>
      </c>
      <c r="AA99" s="26" t="s">
        <v>117</v>
      </c>
    </row>
    <row r="100" spans="1:27" x14ac:dyDescent="0.35">
      <c r="A100" s="50" t="s">
        <v>71</v>
      </c>
      <c r="B100" s="50" t="s">
        <v>375</v>
      </c>
      <c r="C100" s="50" t="s">
        <v>396</v>
      </c>
      <c r="D100" s="48">
        <v>2</v>
      </c>
      <c r="AA100" s="51" t="s">
        <v>76</v>
      </c>
    </row>
    <row r="101" spans="1:27" x14ac:dyDescent="0.35">
      <c r="A101" s="50" t="s">
        <v>87</v>
      </c>
      <c r="B101" s="50" t="s">
        <v>375</v>
      </c>
      <c r="C101" s="50" t="s">
        <v>397</v>
      </c>
      <c r="D101" s="48">
        <v>0</v>
      </c>
      <c r="AA101" s="51" t="s">
        <v>74</v>
      </c>
    </row>
    <row r="102" spans="1:27" x14ac:dyDescent="0.35">
      <c r="A102" s="50" t="s">
        <v>44</v>
      </c>
      <c r="B102" s="50" t="s">
        <v>375</v>
      </c>
      <c r="C102" s="50" t="s">
        <v>398</v>
      </c>
      <c r="D102" s="48">
        <v>4</v>
      </c>
      <c r="AA102" s="26" t="s">
        <v>177</v>
      </c>
    </row>
    <row r="103" spans="1:27" x14ac:dyDescent="0.35">
      <c r="A103" s="50" t="s">
        <v>76</v>
      </c>
      <c r="B103" s="50" t="s">
        <v>375</v>
      </c>
      <c r="C103" s="50" t="s">
        <v>399</v>
      </c>
      <c r="D103" s="48">
        <v>0</v>
      </c>
      <c r="AA103" s="26" t="s">
        <v>152</v>
      </c>
    </row>
    <row r="104" spans="1:27" x14ac:dyDescent="0.35">
      <c r="A104" s="50" t="s">
        <v>84</v>
      </c>
      <c r="B104" s="50" t="s">
        <v>375</v>
      </c>
      <c r="C104" s="50" t="s">
        <v>84</v>
      </c>
      <c r="D104" s="48">
        <v>2</v>
      </c>
      <c r="AA104" s="26" t="s">
        <v>78</v>
      </c>
    </row>
    <row r="105" spans="1:27" x14ac:dyDescent="0.35">
      <c r="A105" s="50" t="s">
        <v>82</v>
      </c>
      <c r="B105" s="50" t="s">
        <v>375</v>
      </c>
      <c r="C105" s="50" t="s">
        <v>82</v>
      </c>
      <c r="D105" s="48">
        <v>4</v>
      </c>
      <c r="AA105" s="51" t="s">
        <v>200</v>
      </c>
    </row>
    <row r="106" spans="1:27" x14ac:dyDescent="0.35">
      <c r="A106" s="50" t="s">
        <v>400</v>
      </c>
      <c r="B106" s="50" t="s">
        <v>375</v>
      </c>
      <c r="C106" s="50" t="s">
        <v>400</v>
      </c>
      <c r="D106" s="48">
        <v>2</v>
      </c>
      <c r="AA106" s="26" t="s">
        <v>89</v>
      </c>
    </row>
    <row r="107" spans="1:27" x14ac:dyDescent="0.35">
      <c r="A107" s="50" t="s">
        <v>86</v>
      </c>
      <c r="B107" s="50" t="s">
        <v>375</v>
      </c>
      <c r="C107" s="50" t="s">
        <v>86</v>
      </c>
      <c r="D107" s="48">
        <v>0</v>
      </c>
      <c r="AA107" s="51" t="s">
        <v>118</v>
      </c>
    </row>
    <row r="108" spans="1:27" x14ac:dyDescent="0.35">
      <c r="A108" s="50" t="s">
        <v>204</v>
      </c>
      <c r="B108" s="50" t="s">
        <v>375</v>
      </c>
      <c r="C108" s="50" t="s">
        <v>204</v>
      </c>
      <c r="D108" s="48">
        <v>0</v>
      </c>
      <c r="AA108" s="26" t="s">
        <v>80</v>
      </c>
    </row>
    <row r="109" spans="1:27" x14ac:dyDescent="0.35">
      <c r="A109" s="50" t="s">
        <v>205</v>
      </c>
      <c r="B109" s="50" t="s">
        <v>375</v>
      </c>
      <c r="C109" s="50" t="s">
        <v>205</v>
      </c>
      <c r="D109" s="48">
        <v>9</v>
      </c>
      <c r="AA109" s="51" t="s">
        <v>79</v>
      </c>
    </row>
    <row r="110" spans="1:27" x14ac:dyDescent="0.35">
      <c r="A110" s="50" t="s">
        <v>209</v>
      </c>
      <c r="B110" s="50" t="s">
        <v>375</v>
      </c>
      <c r="C110" s="50" t="s">
        <v>209</v>
      </c>
      <c r="D110" s="48">
        <v>19</v>
      </c>
      <c r="AA110" s="26" t="s">
        <v>178</v>
      </c>
    </row>
    <row r="111" spans="1:27" x14ac:dyDescent="0.35">
      <c r="A111" s="50" t="s">
        <v>401</v>
      </c>
      <c r="B111" s="50" t="s">
        <v>402</v>
      </c>
      <c r="C111" s="50" t="s">
        <v>403</v>
      </c>
      <c r="D111" s="48">
        <v>0</v>
      </c>
      <c r="AA111" s="26" t="s">
        <v>81</v>
      </c>
    </row>
    <row r="112" spans="1:27" x14ac:dyDescent="0.35">
      <c r="A112" s="50" t="s">
        <v>404</v>
      </c>
      <c r="B112" s="50" t="s">
        <v>402</v>
      </c>
      <c r="C112" s="50" t="s">
        <v>405</v>
      </c>
      <c r="D112" s="48">
        <v>0</v>
      </c>
      <c r="AA112" s="26" t="s">
        <v>201</v>
      </c>
    </row>
    <row r="113" spans="1:27" x14ac:dyDescent="0.35">
      <c r="A113" s="50" t="s">
        <v>406</v>
      </c>
      <c r="B113" s="50" t="s">
        <v>402</v>
      </c>
      <c r="C113" s="50" t="s">
        <v>407</v>
      </c>
      <c r="D113" s="48">
        <v>0</v>
      </c>
      <c r="AA113" s="51" t="s">
        <v>84</v>
      </c>
    </row>
    <row r="114" spans="1:27" x14ac:dyDescent="0.35">
      <c r="A114" s="50" t="s">
        <v>131</v>
      </c>
      <c r="B114" s="50" t="s">
        <v>402</v>
      </c>
      <c r="C114" s="50" t="s">
        <v>408</v>
      </c>
      <c r="D114" s="48">
        <v>0</v>
      </c>
      <c r="AA114" s="51" t="s">
        <v>119</v>
      </c>
    </row>
    <row r="115" spans="1:27" x14ac:dyDescent="0.35">
      <c r="A115" s="50" t="s">
        <v>409</v>
      </c>
      <c r="B115" s="50" t="s">
        <v>402</v>
      </c>
      <c r="C115" s="50" t="s">
        <v>410</v>
      </c>
      <c r="D115" s="48">
        <v>0</v>
      </c>
      <c r="AA115" s="26" t="s">
        <v>83</v>
      </c>
    </row>
    <row r="116" spans="1:27" x14ac:dyDescent="0.35">
      <c r="A116" s="50" t="s">
        <v>216</v>
      </c>
      <c r="B116" s="50" t="s">
        <v>402</v>
      </c>
      <c r="C116" s="50" t="s">
        <v>411</v>
      </c>
      <c r="D116" s="48">
        <v>0</v>
      </c>
      <c r="AA116" s="26" t="s">
        <v>82</v>
      </c>
    </row>
    <row r="117" spans="1:27" x14ac:dyDescent="0.35">
      <c r="A117" s="50" t="s">
        <v>412</v>
      </c>
      <c r="B117" s="50" t="s">
        <v>413</v>
      </c>
      <c r="C117" s="50" t="s">
        <v>414</v>
      </c>
      <c r="D117" s="48">
        <v>0</v>
      </c>
      <c r="AA117" s="51" t="s">
        <v>179</v>
      </c>
    </row>
    <row r="118" spans="1:27" x14ac:dyDescent="0.35">
      <c r="A118" s="50" t="s">
        <v>415</v>
      </c>
      <c r="B118" s="50" t="s">
        <v>413</v>
      </c>
      <c r="C118" s="50" t="s">
        <v>416</v>
      </c>
      <c r="D118" s="48">
        <v>10</v>
      </c>
      <c r="AA118" s="51" t="s">
        <v>85</v>
      </c>
    </row>
    <row r="119" spans="1:27" x14ac:dyDescent="0.35">
      <c r="A119" s="50" t="s">
        <v>417</v>
      </c>
      <c r="B119" s="50" t="s">
        <v>413</v>
      </c>
      <c r="C119" s="50" t="s">
        <v>418</v>
      </c>
      <c r="D119" s="48">
        <v>63</v>
      </c>
      <c r="AA119" s="26" t="s">
        <v>163</v>
      </c>
    </row>
    <row r="120" spans="1:27" x14ac:dyDescent="0.35">
      <c r="A120" s="50" t="s">
        <v>419</v>
      </c>
      <c r="B120" s="50" t="s">
        <v>420</v>
      </c>
      <c r="C120" s="50" t="s">
        <v>421</v>
      </c>
      <c r="D120" s="48">
        <v>4</v>
      </c>
      <c r="AA120" s="51" t="s">
        <v>87</v>
      </c>
    </row>
    <row r="121" spans="1:27" x14ac:dyDescent="0.35">
      <c r="A121" s="50" t="s">
        <v>422</v>
      </c>
      <c r="B121" s="50" t="s">
        <v>420</v>
      </c>
      <c r="C121" s="50" t="s">
        <v>423</v>
      </c>
      <c r="D121" s="48">
        <v>5</v>
      </c>
      <c r="AA121" s="26" t="s">
        <v>86</v>
      </c>
    </row>
    <row r="122" spans="1:27" x14ac:dyDescent="0.35">
      <c r="A122" s="50" t="s">
        <v>424</v>
      </c>
      <c r="B122" s="50" t="s">
        <v>420</v>
      </c>
      <c r="C122" s="50" t="s">
        <v>424</v>
      </c>
      <c r="D122" s="48">
        <v>19</v>
      </c>
      <c r="AA122" s="51" t="s">
        <v>180</v>
      </c>
    </row>
    <row r="123" spans="1:27" x14ac:dyDescent="0.35">
      <c r="A123" s="50" t="s">
        <v>711</v>
      </c>
      <c r="B123" s="50" t="s">
        <v>425</v>
      </c>
      <c r="C123" s="50" t="s">
        <v>712</v>
      </c>
      <c r="D123" s="48">
        <v>0</v>
      </c>
      <c r="AA123" s="51" t="s">
        <v>88</v>
      </c>
    </row>
    <row r="124" spans="1:27" x14ac:dyDescent="0.35">
      <c r="A124" s="50" t="s">
        <v>191</v>
      </c>
      <c r="B124" s="50" t="s">
        <v>425</v>
      </c>
      <c r="C124" s="50" t="s">
        <v>426</v>
      </c>
      <c r="D124" s="48">
        <v>4</v>
      </c>
      <c r="AA124" s="26" t="s">
        <v>164</v>
      </c>
    </row>
    <row r="125" spans="1:27" x14ac:dyDescent="0.35">
      <c r="A125" s="50" t="s">
        <v>187</v>
      </c>
      <c r="B125" s="50" t="s">
        <v>425</v>
      </c>
      <c r="C125" s="50" t="s">
        <v>427</v>
      </c>
      <c r="D125" s="48">
        <v>5</v>
      </c>
      <c r="AA125" s="51" t="s">
        <v>104</v>
      </c>
    </row>
    <row r="126" spans="1:27" x14ac:dyDescent="0.35">
      <c r="A126" s="50" t="s">
        <v>5</v>
      </c>
      <c r="B126" s="50" t="s">
        <v>425</v>
      </c>
      <c r="C126" s="50" t="s">
        <v>428</v>
      </c>
      <c r="D126" s="48">
        <v>1</v>
      </c>
      <c r="AA126" s="26" t="s">
        <v>98</v>
      </c>
    </row>
    <row r="127" spans="1:27" x14ac:dyDescent="0.35">
      <c r="A127" s="50" t="s">
        <v>16</v>
      </c>
      <c r="B127" s="50" t="s">
        <v>425</v>
      </c>
      <c r="C127" s="50" t="s">
        <v>429</v>
      </c>
      <c r="D127" s="48">
        <v>0</v>
      </c>
      <c r="AA127" s="26" t="s">
        <v>204</v>
      </c>
    </row>
    <row r="128" spans="1:27" x14ac:dyDescent="0.35">
      <c r="A128" s="50" t="s">
        <v>430</v>
      </c>
      <c r="B128" s="50" t="s">
        <v>425</v>
      </c>
      <c r="C128" s="50" t="s">
        <v>431</v>
      </c>
      <c r="D128" s="48">
        <v>0</v>
      </c>
      <c r="AA128" s="51" t="s">
        <v>97</v>
      </c>
    </row>
    <row r="129" spans="1:27" x14ac:dyDescent="0.35">
      <c r="A129" s="50" t="s">
        <v>432</v>
      </c>
      <c r="B129" s="50" t="s">
        <v>425</v>
      </c>
      <c r="C129" s="50" t="s">
        <v>433</v>
      </c>
      <c r="D129" s="48">
        <v>0</v>
      </c>
      <c r="AA129" s="51" t="s">
        <v>106</v>
      </c>
    </row>
    <row r="130" spans="1:27" x14ac:dyDescent="0.35">
      <c r="A130" s="50" t="s">
        <v>434</v>
      </c>
      <c r="B130" s="50" t="s">
        <v>425</v>
      </c>
      <c r="C130" s="50" t="s">
        <v>435</v>
      </c>
      <c r="D130" s="48">
        <v>80</v>
      </c>
      <c r="AA130" s="26" t="s">
        <v>99</v>
      </c>
    </row>
    <row r="131" spans="1:27" x14ac:dyDescent="0.35">
      <c r="A131" s="50" t="s">
        <v>3</v>
      </c>
      <c r="B131" s="50" t="s">
        <v>425</v>
      </c>
      <c r="C131" s="50" t="s">
        <v>436</v>
      </c>
      <c r="D131" s="48">
        <v>125</v>
      </c>
      <c r="AA131" s="26" t="s">
        <v>205</v>
      </c>
    </row>
    <row r="132" spans="1:27" x14ac:dyDescent="0.35">
      <c r="A132" s="50" t="s">
        <v>15</v>
      </c>
      <c r="B132" s="50" t="s">
        <v>425</v>
      </c>
      <c r="C132" s="50" t="s">
        <v>610</v>
      </c>
      <c r="D132" s="48">
        <v>1</v>
      </c>
      <c r="AA132" s="51" t="s">
        <v>107</v>
      </c>
    </row>
    <row r="133" spans="1:27" x14ac:dyDescent="0.35">
      <c r="A133" s="50" t="s">
        <v>17</v>
      </c>
      <c r="B133" s="50" t="s">
        <v>425</v>
      </c>
      <c r="C133" s="50" t="s">
        <v>437</v>
      </c>
      <c r="D133" s="48">
        <v>2</v>
      </c>
      <c r="AA133" s="51" t="s">
        <v>4</v>
      </c>
    </row>
    <row r="134" spans="1:27" x14ac:dyDescent="0.35">
      <c r="A134" s="50" t="s">
        <v>144</v>
      </c>
      <c r="B134" s="50" t="s">
        <v>425</v>
      </c>
      <c r="C134" s="50" t="s">
        <v>663</v>
      </c>
      <c r="D134" s="48">
        <v>2</v>
      </c>
      <c r="AA134" s="51" t="s">
        <v>105</v>
      </c>
    </row>
    <row r="135" spans="1:27" x14ac:dyDescent="0.35">
      <c r="A135" s="50" t="s">
        <v>175</v>
      </c>
      <c r="B135" s="50" t="s">
        <v>425</v>
      </c>
      <c r="C135" s="50" t="s">
        <v>766</v>
      </c>
      <c r="D135" s="48">
        <v>1</v>
      </c>
      <c r="AA135" s="26" t="s">
        <v>100</v>
      </c>
    </row>
    <row r="136" spans="1:27" x14ac:dyDescent="0.35">
      <c r="A136" s="50" t="s">
        <v>110</v>
      </c>
      <c r="B136" s="50" t="s">
        <v>425</v>
      </c>
      <c r="C136" s="50" t="s">
        <v>438</v>
      </c>
      <c r="D136" s="48">
        <v>0</v>
      </c>
      <c r="AA136" s="26" t="s">
        <v>209</v>
      </c>
    </row>
    <row r="137" spans="1:27" x14ac:dyDescent="0.35">
      <c r="A137" s="50" t="s">
        <v>146</v>
      </c>
      <c r="B137" s="50" t="s">
        <v>425</v>
      </c>
      <c r="C137" s="50" t="s">
        <v>664</v>
      </c>
      <c r="D137" s="48">
        <v>2</v>
      </c>
      <c r="AA137" s="26" t="s">
        <v>108</v>
      </c>
    </row>
    <row r="138" spans="1:27" x14ac:dyDescent="0.35">
      <c r="A138" s="50" t="s">
        <v>109</v>
      </c>
      <c r="B138" s="50" t="s">
        <v>425</v>
      </c>
      <c r="C138" s="50" t="s">
        <v>439</v>
      </c>
      <c r="D138" s="48">
        <v>0</v>
      </c>
      <c r="AA138" s="26" t="s">
        <v>90</v>
      </c>
    </row>
    <row r="139" spans="1:27" x14ac:dyDescent="0.35">
      <c r="A139" s="50" t="s">
        <v>21</v>
      </c>
      <c r="B139" s="50" t="s">
        <v>425</v>
      </c>
      <c r="C139" s="50" t="s">
        <v>440</v>
      </c>
      <c r="D139" s="48">
        <v>16</v>
      </c>
      <c r="AA139" s="26" t="s">
        <v>112</v>
      </c>
    </row>
    <row r="140" spans="1:27" x14ac:dyDescent="0.35">
      <c r="A140" s="50" t="s">
        <v>20</v>
      </c>
      <c r="B140" s="50" t="s">
        <v>425</v>
      </c>
      <c r="C140" s="50" t="s">
        <v>441</v>
      </c>
      <c r="D140" s="48">
        <v>53</v>
      </c>
      <c r="AA140" s="51" t="s">
        <v>91</v>
      </c>
    </row>
    <row r="141" spans="1:27" x14ac:dyDescent="0.35">
      <c r="A141" s="50" t="s">
        <v>7</v>
      </c>
      <c r="B141" s="50" t="s">
        <v>425</v>
      </c>
      <c r="C141" s="50" t="s">
        <v>442</v>
      </c>
      <c r="D141" s="48">
        <v>14</v>
      </c>
      <c r="AA141" s="51" t="s">
        <v>101</v>
      </c>
    </row>
    <row r="142" spans="1:27" x14ac:dyDescent="0.35">
      <c r="A142" s="50" t="s">
        <v>26</v>
      </c>
      <c r="B142" s="50" t="s">
        <v>425</v>
      </c>
      <c r="C142" s="50" t="s">
        <v>443</v>
      </c>
      <c r="D142" s="48">
        <v>71</v>
      </c>
      <c r="AA142" s="26" t="s">
        <v>115</v>
      </c>
    </row>
    <row r="143" spans="1:27" x14ac:dyDescent="0.35">
      <c r="A143" s="50" t="s">
        <v>31</v>
      </c>
      <c r="B143" s="50" t="s">
        <v>425</v>
      </c>
      <c r="C143" s="50" t="s">
        <v>444</v>
      </c>
      <c r="D143" s="48">
        <v>79</v>
      </c>
      <c r="AA143" s="51" t="s">
        <v>95</v>
      </c>
    </row>
    <row r="144" spans="1:27" x14ac:dyDescent="0.35">
      <c r="A144" s="50" t="s">
        <v>29</v>
      </c>
      <c r="B144" s="50" t="s">
        <v>425</v>
      </c>
      <c r="C144" s="50" t="s">
        <v>445</v>
      </c>
      <c r="D144" s="48">
        <v>142</v>
      </c>
      <c r="AA144" s="26" t="s">
        <v>113</v>
      </c>
    </row>
    <row r="145" spans="1:27" x14ac:dyDescent="0.35">
      <c r="A145" s="50" t="s">
        <v>28</v>
      </c>
      <c r="B145" s="50" t="s">
        <v>425</v>
      </c>
      <c r="C145" s="50" t="s">
        <v>446</v>
      </c>
      <c r="D145" s="48">
        <v>12</v>
      </c>
      <c r="AA145" s="51" t="s">
        <v>210</v>
      </c>
    </row>
    <row r="146" spans="1:27" x14ac:dyDescent="0.35">
      <c r="A146" s="50" t="s">
        <v>160</v>
      </c>
      <c r="B146" s="50" t="s">
        <v>425</v>
      </c>
      <c r="C146" s="50" t="s">
        <v>447</v>
      </c>
      <c r="D146" s="48">
        <v>50</v>
      </c>
      <c r="AA146" s="26" t="s">
        <v>181</v>
      </c>
    </row>
    <row r="147" spans="1:27" x14ac:dyDescent="0.35">
      <c r="A147" s="50" t="s">
        <v>159</v>
      </c>
      <c r="B147" s="50" t="s">
        <v>425</v>
      </c>
      <c r="C147" s="50" t="s">
        <v>448</v>
      </c>
      <c r="D147" s="48">
        <v>12</v>
      </c>
      <c r="AA147" s="51" t="s">
        <v>194</v>
      </c>
    </row>
    <row r="148" spans="1:27" x14ac:dyDescent="0.35">
      <c r="A148" s="50" t="s">
        <v>148</v>
      </c>
      <c r="B148" s="50" t="s">
        <v>425</v>
      </c>
      <c r="C148" s="50" t="s">
        <v>449</v>
      </c>
      <c r="D148" s="48">
        <v>58</v>
      </c>
      <c r="AA148" s="51" t="s">
        <v>182</v>
      </c>
    </row>
    <row r="149" spans="1:27" x14ac:dyDescent="0.35">
      <c r="A149" s="50" t="s">
        <v>23</v>
      </c>
      <c r="B149" s="50" t="s">
        <v>425</v>
      </c>
      <c r="C149" s="50" t="s">
        <v>450</v>
      </c>
      <c r="D149" s="48">
        <v>17</v>
      </c>
      <c r="AA149" s="26" t="s">
        <v>92</v>
      </c>
    </row>
    <row r="150" spans="1:27" x14ac:dyDescent="0.35">
      <c r="A150" s="50" t="s">
        <v>137</v>
      </c>
      <c r="B150" s="50" t="s">
        <v>425</v>
      </c>
      <c r="C150" s="50" t="s">
        <v>451</v>
      </c>
      <c r="D150" s="48">
        <v>21</v>
      </c>
      <c r="AA150" s="51" t="s">
        <v>114</v>
      </c>
    </row>
    <row r="151" spans="1:27" x14ac:dyDescent="0.35">
      <c r="A151" s="50" t="s">
        <v>33</v>
      </c>
      <c r="B151" s="50" t="s">
        <v>425</v>
      </c>
      <c r="C151" s="50" t="s">
        <v>452</v>
      </c>
      <c r="D151" s="48">
        <v>0</v>
      </c>
      <c r="AA151" s="26" t="s">
        <v>211</v>
      </c>
    </row>
    <row r="152" spans="1:27" x14ac:dyDescent="0.35">
      <c r="A152" s="50" t="s">
        <v>138</v>
      </c>
      <c r="B152" s="50" t="s">
        <v>425</v>
      </c>
      <c r="C152" s="50" t="s">
        <v>453</v>
      </c>
      <c r="D152" s="48">
        <v>11</v>
      </c>
      <c r="AA152" s="51" t="s">
        <v>142</v>
      </c>
    </row>
    <row r="153" spans="1:27" x14ac:dyDescent="0.35">
      <c r="A153" s="50" t="s">
        <v>151</v>
      </c>
      <c r="B153" s="50" t="s">
        <v>425</v>
      </c>
      <c r="C153" s="50" t="s">
        <v>454</v>
      </c>
      <c r="D153" s="48">
        <v>0</v>
      </c>
      <c r="AA153" s="51" t="s">
        <v>93</v>
      </c>
    </row>
    <row r="154" spans="1:27" x14ac:dyDescent="0.35">
      <c r="A154" s="50" t="s">
        <v>173</v>
      </c>
      <c r="B154" s="50" t="s">
        <v>425</v>
      </c>
      <c r="C154" s="50" t="s">
        <v>455</v>
      </c>
      <c r="D154" s="48">
        <v>3</v>
      </c>
      <c r="AA154" s="26" t="s">
        <v>169</v>
      </c>
    </row>
    <row r="155" spans="1:27" x14ac:dyDescent="0.35">
      <c r="A155" s="50" t="s">
        <v>174</v>
      </c>
      <c r="B155" s="50" t="s">
        <v>425</v>
      </c>
      <c r="C155" s="50" t="s">
        <v>456</v>
      </c>
      <c r="D155" s="48">
        <v>6</v>
      </c>
      <c r="AA155" s="51" t="s">
        <v>143</v>
      </c>
    </row>
    <row r="156" spans="1:27" x14ac:dyDescent="0.35">
      <c r="A156" s="50" t="s">
        <v>30</v>
      </c>
      <c r="B156" s="50" t="s">
        <v>425</v>
      </c>
      <c r="C156" s="50" t="s">
        <v>457</v>
      </c>
      <c r="D156" s="48">
        <v>18</v>
      </c>
      <c r="AA156" s="51" t="s">
        <v>157</v>
      </c>
    </row>
    <row r="157" spans="1:27" x14ac:dyDescent="0.35">
      <c r="A157" s="50" t="s">
        <v>102</v>
      </c>
      <c r="B157" s="50" t="s">
        <v>425</v>
      </c>
      <c r="C157" s="50" t="s">
        <v>458</v>
      </c>
      <c r="D157" s="48">
        <v>1</v>
      </c>
      <c r="AA157" s="26" t="s">
        <v>170</v>
      </c>
    </row>
    <row r="158" spans="1:27" x14ac:dyDescent="0.35">
      <c r="A158" s="50" t="s">
        <v>24</v>
      </c>
      <c r="B158" s="50" t="s">
        <v>425</v>
      </c>
      <c r="C158" s="50" t="s">
        <v>459</v>
      </c>
      <c r="D158" s="48">
        <v>1</v>
      </c>
      <c r="AA158" s="51" t="s">
        <v>195</v>
      </c>
    </row>
    <row r="159" spans="1:27" x14ac:dyDescent="0.35">
      <c r="A159" s="50" t="s">
        <v>103</v>
      </c>
      <c r="B159" s="50" t="s">
        <v>425</v>
      </c>
      <c r="C159" s="50" t="s">
        <v>460</v>
      </c>
      <c r="D159" s="48">
        <v>0</v>
      </c>
      <c r="AA159" s="26" t="s">
        <v>192</v>
      </c>
    </row>
    <row r="160" spans="1:27" x14ac:dyDescent="0.35">
      <c r="A160" s="50" t="s">
        <v>111</v>
      </c>
      <c r="B160" s="50" t="s">
        <v>425</v>
      </c>
      <c r="C160" s="50" t="s">
        <v>461</v>
      </c>
      <c r="D160" s="48">
        <v>2</v>
      </c>
      <c r="AA160" s="26" t="s">
        <v>199</v>
      </c>
    </row>
    <row r="161" spans="1:30" x14ac:dyDescent="0.35">
      <c r="A161" s="50" t="s">
        <v>32</v>
      </c>
      <c r="B161" s="50" t="s">
        <v>425</v>
      </c>
      <c r="C161" s="50" t="s">
        <v>462</v>
      </c>
      <c r="D161" s="48">
        <v>5</v>
      </c>
      <c r="AA161" s="26" t="s">
        <v>94</v>
      </c>
    </row>
    <row r="162" spans="1:30" x14ac:dyDescent="0.35">
      <c r="A162" s="50" t="s">
        <v>6</v>
      </c>
      <c r="B162" s="50" t="s">
        <v>425</v>
      </c>
      <c r="C162" s="50" t="s">
        <v>463</v>
      </c>
      <c r="D162" s="48">
        <v>1</v>
      </c>
      <c r="AA162" s="51" t="s">
        <v>131</v>
      </c>
    </row>
    <row r="163" spans="1:30" x14ac:dyDescent="0.35">
      <c r="A163" s="50" t="s">
        <v>763</v>
      </c>
      <c r="B163" s="50" t="s">
        <v>425</v>
      </c>
      <c r="C163" s="50" t="s">
        <v>763</v>
      </c>
      <c r="D163" s="48">
        <v>5</v>
      </c>
      <c r="AA163" s="51" t="s">
        <v>216</v>
      </c>
    </row>
    <row r="164" spans="1:30" x14ac:dyDescent="0.35">
      <c r="A164" s="50" t="s">
        <v>120</v>
      </c>
      <c r="B164" s="50" t="s">
        <v>425</v>
      </c>
      <c r="C164" s="50" t="s">
        <v>120</v>
      </c>
      <c r="D164" s="48">
        <v>0</v>
      </c>
      <c r="AA164" s="51" t="s">
        <v>608</v>
      </c>
    </row>
    <row r="165" spans="1:30" x14ac:dyDescent="0.35">
      <c r="A165" s="50" t="s">
        <v>121</v>
      </c>
      <c r="B165" s="50" t="s">
        <v>425</v>
      </c>
      <c r="C165" s="50" t="s">
        <v>121</v>
      </c>
      <c r="D165" s="48">
        <v>5</v>
      </c>
      <c r="AA165" s="26" t="s">
        <v>150</v>
      </c>
    </row>
    <row r="166" spans="1:30" x14ac:dyDescent="0.35">
      <c r="A166" s="50" t="s">
        <v>122</v>
      </c>
      <c r="B166" s="50" t="s">
        <v>425</v>
      </c>
      <c r="C166" s="50" t="s">
        <v>122</v>
      </c>
      <c r="D166" s="48">
        <v>18</v>
      </c>
      <c r="AA166" s="26" t="s">
        <v>140</v>
      </c>
    </row>
    <row r="167" spans="1:30" x14ac:dyDescent="0.35">
      <c r="A167" s="50" t="s">
        <v>123</v>
      </c>
      <c r="B167" s="50" t="s">
        <v>425</v>
      </c>
      <c r="C167" s="50" t="s">
        <v>123</v>
      </c>
      <c r="D167" s="48">
        <v>0</v>
      </c>
      <c r="AA167" s="51" t="s">
        <v>14</v>
      </c>
      <c r="AB167" t="s">
        <v>3</v>
      </c>
      <c r="AD167" t="s">
        <v>616</v>
      </c>
    </row>
    <row r="168" spans="1:30" x14ac:dyDescent="0.35">
      <c r="A168" s="50" t="s">
        <v>124</v>
      </c>
      <c r="B168" s="50" t="s">
        <v>425</v>
      </c>
      <c r="C168" s="50" t="s">
        <v>124</v>
      </c>
      <c r="D168" s="48">
        <v>15</v>
      </c>
      <c r="AA168" s="26" t="s">
        <v>9</v>
      </c>
      <c r="AB168" t="s">
        <v>3</v>
      </c>
      <c r="AD168" t="s">
        <v>616</v>
      </c>
    </row>
    <row r="169" spans="1:30" x14ac:dyDescent="0.35">
      <c r="A169" s="50" t="s">
        <v>125</v>
      </c>
      <c r="B169" s="50" t="s">
        <v>425</v>
      </c>
      <c r="C169" s="50" t="s">
        <v>125</v>
      </c>
      <c r="D169" s="48">
        <v>9</v>
      </c>
      <c r="AA169" s="51" t="s">
        <v>198</v>
      </c>
      <c r="AB169" t="s">
        <v>3</v>
      </c>
      <c r="AD169" t="s">
        <v>616</v>
      </c>
    </row>
    <row r="170" spans="1:30" x14ac:dyDescent="0.35">
      <c r="A170" s="50" t="s">
        <v>126</v>
      </c>
      <c r="B170" s="50" t="s">
        <v>425</v>
      </c>
      <c r="C170" s="50" t="s">
        <v>126</v>
      </c>
      <c r="D170" s="48">
        <v>0</v>
      </c>
      <c r="AA170" s="26" t="s">
        <v>10</v>
      </c>
      <c r="AB170" t="s">
        <v>3</v>
      </c>
      <c r="AD170" t="s">
        <v>616</v>
      </c>
    </row>
    <row r="171" spans="1:30" x14ac:dyDescent="0.35">
      <c r="A171" s="50" t="s">
        <v>127</v>
      </c>
      <c r="B171" s="50" t="s">
        <v>425</v>
      </c>
      <c r="C171" s="50" t="s">
        <v>127</v>
      </c>
      <c r="D171" s="48">
        <v>33</v>
      </c>
      <c r="AA171" s="51" t="s">
        <v>11</v>
      </c>
      <c r="AB171" t="s">
        <v>3</v>
      </c>
      <c r="AD171" t="s">
        <v>616</v>
      </c>
    </row>
    <row r="172" spans="1:30" x14ac:dyDescent="0.35">
      <c r="A172" s="50" t="s">
        <v>158</v>
      </c>
      <c r="B172" s="50" t="s">
        <v>425</v>
      </c>
      <c r="C172" s="50" t="s">
        <v>158</v>
      </c>
      <c r="D172" s="48">
        <v>18</v>
      </c>
      <c r="AA172" s="26" t="s">
        <v>189</v>
      </c>
      <c r="AB172" t="s">
        <v>3</v>
      </c>
      <c r="AD172" t="s">
        <v>616</v>
      </c>
    </row>
    <row r="173" spans="1:30" x14ac:dyDescent="0.35">
      <c r="A173" s="50" t="s">
        <v>193</v>
      </c>
      <c r="B173" s="50" t="s">
        <v>425</v>
      </c>
      <c r="C173" s="50" t="s">
        <v>193</v>
      </c>
      <c r="D173" s="48">
        <v>16</v>
      </c>
      <c r="AA173" s="51" t="s">
        <v>12</v>
      </c>
      <c r="AB173" t="s">
        <v>3</v>
      </c>
      <c r="AD173" t="s">
        <v>616</v>
      </c>
    </row>
    <row r="174" spans="1:30" x14ac:dyDescent="0.35">
      <c r="A174" s="50" t="s">
        <v>128</v>
      </c>
      <c r="B174" s="50" t="s">
        <v>425</v>
      </c>
      <c r="C174" s="50" t="s">
        <v>128</v>
      </c>
      <c r="D174" s="48">
        <v>12</v>
      </c>
      <c r="AA174" s="26" t="s">
        <v>13</v>
      </c>
      <c r="AB174" t="s">
        <v>3</v>
      </c>
      <c r="AD174" t="s">
        <v>616</v>
      </c>
    </row>
    <row r="175" spans="1:30" x14ac:dyDescent="0.35">
      <c r="A175" s="50" t="s">
        <v>130</v>
      </c>
      <c r="B175" s="50" t="s">
        <v>425</v>
      </c>
      <c r="C175" s="50" t="s">
        <v>130</v>
      </c>
      <c r="D175" s="48">
        <v>0</v>
      </c>
      <c r="AA175" s="51" t="s">
        <v>190</v>
      </c>
      <c r="AB175" t="s">
        <v>3</v>
      </c>
      <c r="AD175" t="s">
        <v>616</v>
      </c>
    </row>
    <row r="176" spans="1:30" x14ac:dyDescent="0.35">
      <c r="A176" s="50" t="s">
        <v>141</v>
      </c>
      <c r="B176" s="50" t="s">
        <v>425</v>
      </c>
      <c r="C176" s="50" t="s">
        <v>141</v>
      </c>
      <c r="D176" s="48">
        <v>17</v>
      </c>
      <c r="AA176" s="51" t="s">
        <v>476</v>
      </c>
      <c r="AB176" t="s">
        <v>3</v>
      </c>
      <c r="AD176" t="s">
        <v>616</v>
      </c>
    </row>
    <row r="177" spans="1:30" x14ac:dyDescent="0.35">
      <c r="A177" s="50" t="s">
        <v>464</v>
      </c>
      <c r="B177" s="50" t="s">
        <v>425</v>
      </c>
      <c r="C177" s="50" t="s">
        <v>464</v>
      </c>
      <c r="D177" s="48">
        <v>2</v>
      </c>
      <c r="AA177" s="26" t="s">
        <v>203</v>
      </c>
      <c r="AB177" t="s">
        <v>3</v>
      </c>
      <c r="AD177" t="s">
        <v>616</v>
      </c>
    </row>
    <row r="178" spans="1:30" x14ac:dyDescent="0.35">
      <c r="A178" s="50" t="s">
        <v>693</v>
      </c>
      <c r="B178" s="50" t="s">
        <v>425</v>
      </c>
      <c r="C178" s="50" t="s">
        <v>206</v>
      </c>
      <c r="D178" s="48">
        <v>3</v>
      </c>
      <c r="AA178" s="51" t="s">
        <v>202</v>
      </c>
      <c r="AB178" t="s">
        <v>3</v>
      </c>
      <c r="AD178" t="s">
        <v>616</v>
      </c>
    </row>
    <row r="179" spans="1:30" x14ac:dyDescent="0.35">
      <c r="A179" s="50" t="s">
        <v>165</v>
      </c>
      <c r="B179" s="50" t="s">
        <v>425</v>
      </c>
      <c r="C179" s="50" t="s">
        <v>165</v>
      </c>
      <c r="D179" s="48">
        <v>11</v>
      </c>
      <c r="AA179" s="51" t="s">
        <v>187</v>
      </c>
      <c r="AB179" t="s">
        <v>3</v>
      </c>
      <c r="AD179" t="s">
        <v>616</v>
      </c>
    </row>
    <row r="180" spans="1:30" x14ac:dyDescent="0.35">
      <c r="A180" s="50" t="s">
        <v>694</v>
      </c>
      <c r="B180" s="50" t="s">
        <v>425</v>
      </c>
      <c r="C180" s="50" t="s">
        <v>207</v>
      </c>
      <c r="D180" s="48">
        <v>3</v>
      </c>
      <c r="AA180" s="26" t="s">
        <v>191</v>
      </c>
      <c r="AB180" t="s">
        <v>3</v>
      </c>
      <c r="AD180" t="s">
        <v>616</v>
      </c>
    </row>
    <row r="181" spans="1:30" x14ac:dyDescent="0.35">
      <c r="A181" s="50" t="s">
        <v>166</v>
      </c>
      <c r="B181" s="50" t="s">
        <v>425</v>
      </c>
      <c r="C181" s="50" t="s">
        <v>166</v>
      </c>
      <c r="D181" s="48">
        <v>11</v>
      </c>
      <c r="AA181" s="51" t="s">
        <v>162</v>
      </c>
      <c r="AB181" t="s">
        <v>3</v>
      </c>
      <c r="AD181" t="s">
        <v>616</v>
      </c>
    </row>
    <row r="182" spans="1:30" x14ac:dyDescent="0.35">
      <c r="A182" s="50" t="s">
        <v>767</v>
      </c>
      <c r="B182" s="50" t="s">
        <v>425</v>
      </c>
      <c r="C182" s="50" t="s">
        <v>767</v>
      </c>
      <c r="D182" s="48">
        <v>1</v>
      </c>
      <c r="AA182" s="51" t="s">
        <v>43</v>
      </c>
    </row>
    <row r="183" spans="1:30" x14ac:dyDescent="0.35">
      <c r="A183" s="50" t="s">
        <v>167</v>
      </c>
      <c r="B183" s="50" t="s">
        <v>425</v>
      </c>
      <c r="C183" s="50" t="s">
        <v>167</v>
      </c>
      <c r="D183" s="48">
        <v>12</v>
      </c>
      <c r="AA183" s="26" t="s">
        <v>41</v>
      </c>
    </row>
    <row r="184" spans="1:30" x14ac:dyDescent="0.35">
      <c r="A184" s="50" t="s">
        <v>768</v>
      </c>
      <c r="B184" s="50" t="s">
        <v>425</v>
      </c>
      <c r="C184" s="50" t="s">
        <v>768</v>
      </c>
      <c r="D184" s="48">
        <v>2</v>
      </c>
      <c r="AA184" s="26" t="s">
        <v>44</v>
      </c>
    </row>
    <row r="185" spans="1:30" x14ac:dyDescent="0.35">
      <c r="A185" s="50" t="s">
        <v>695</v>
      </c>
      <c r="B185" s="50" t="s">
        <v>425</v>
      </c>
      <c r="C185" s="50" t="s">
        <v>695</v>
      </c>
      <c r="D185" s="48">
        <v>1</v>
      </c>
      <c r="AA185" s="26" t="s">
        <v>45</v>
      </c>
    </row>
    <row r="186" spans="1:30" x14ac:dyDescent="0.35">
      <c r="A186" s="50" t="s">
        <v>168</v>
      </c>
      <c r="B186" s="50" t="s">
        <v>425</v>
      </c>
      <c r="C186" s="50" t="s">
        <v>168</v>
      </c>
      <c r="D186" s="48">
        <v>6</v>
      </c>
      <c r="AA186" s="51" t="s">
        <v>48</v>
      </c>
    </row>
    <row r="187" spans="1:30" x14ac:dyDescent="0.35">
      <c r="A187" s="50" t="s">
        <v>769</v>
      </c>
      <c r="B187" s="50" t="s">
        <v>425</v>
      </c>
      <c r="C187" s="50" t="s">
        <v>769</v>
      </c>
      <c r="D187" s="48">
        <v>2</v>
      </c>
      <c r="AA187" s="26" t="s">
        <v>49</v>
      </c>
    </row>
    <row r="188" spans="1:30" x14ac:dyDescent="0.35">
      <c r="A188" s="50" t="s">
        <v>213</v>
      </c>
      <c r="B188" s="50" t="s">
        <v>425</v>
      </c>
      <c r="C188" s="50" t="s">
        <v>213</v>
      </c>
      <c r="D188" s="48">
        <v>2</v>
      </c>
      <c r="AA188" s="51" t="s">
        <v>50</v>
      </c>
    </row>
    <row r="189" spans="1:30" x14ac:dyDescent="0.35">
      <c r="A189" s="50" t="s">
        <v>713</v>
      </c>
      <c r="B189" s="50" t="s">
        <v>425</v>
      </c>
      <c r="C189" s="50" t="s">
        <v>713</v>
      </c>
      <c r="D189" s="48">
        <v>0</v>
      </c>
      <c r="AA189" s="26" t="s">
        <v>51</v>
      </c>
    </row>
    <row r="190" spans="1:30" x14ac:dyDescent="0.35">
      <c r="A190" s="50" t="s">
        <v>139</v>
      </c>
      <c r="B190" s="50" t="s">
        <v>425</v>
      </c>
      <c r="C190" s="50" t="s">
        <v>139</v>
      </c>
      <c r="D190" s="48">
        <v>2</v>
      </c>
      <c r="AA190" s="51" t="s">
        <v>498</v>
      </c>
    </row>
    <row r="191" spans="1:30" x14ac:dyDescent="0.35">
      <c r="A191" s="50" t="s">
        <v>18</v>
      </c>
      <c r="B191" s="50" t="s">
        <v>425</v>
      </c>
      <c r="C191" s="50" t="s">
        <v>18</v>
      </c>
      <c r="D191" s="48">
        <v>14</v>
      </c>
      <c r="AA191" s="51" t="s">
        <v>52</v>
      </c>
      <c r="AB191" s="28" t="s">
        <v>595</v>
      </c>
      <c r="AC191" s="28"/>
      <c r="AD191" t="s">
        <v>314</v>
      </c>
    </row>
    <row r="192" spans="1:30" x14ac:dyDescent="0.35">
      <c r="A192" s="50" t="s">
        <v>214</v>
      </c>
      <c r="B192" s="50" t="s">
        <v>425</v>
      </c>
      <c r="C192" s="50" t="s">
        <v>214</v>
      </c>
      <c r="D192" s="48">
        <v>5</v>
      </c>
      <c r="AA192" s="26" t="s">
        <v>53</v>
      </c>
      <c r="AB192" s="28" t="s">
        <v>595</v>
      </c>
      <c r="AC192" s="28"/>
      <c r="AD192" t="s">
        <v>314</v>
      </c>
    </row>
    <row r="193" spans="1:30" x14ac:dyDescent="0.35">
      <c r="A193" s="50" t="s">
        <v>19</v>
      </c>
      <c r="B193" s="50" t="s">
        <v>425</v>
      </c>
      <c r="C193" s="50" t="s">
        <v>19</v>
      </c>
      <c r="D193" s="48">
        <v>2</v>
      </c>
      <c r="AA193" s="51" t="s">
        <v>54</v>
      </c>
      <c r="AB193" s="28" t="s">
        <v>595</v>
      </c>
      <c r="AC193" s="28"/>
      <c r="AD193" t="s">
        <v>314</v>
      </c>
    </row>
    <row r="194" spans="1:30" x14ac:dyDescent="0.35">
      <c r="A194" s="50" t="s">
        <v>135</v>
      </c>
      <c r="B194" s="50" t="s">
        <v>425</v>
      </c>
      <c r="C194" s="50" t="s">
        <v>135</v>
      </c>
      <c r="D194" s="48">
        <v>2</v>
      </c>
      <c r="AA194" s="26" t="s">
        <v>55</v>
      </c>
      <c r="AB194" s="28" t="s">
        <v>595</v>
      </c>
      <c r="AC194" s="28"/>
      <c r="AD194" t="s">
        <v>314</v>
      </c>
    </row>
    <row r="195" spans="1:30" x14ac:dyDescent="0.35">
      <c r="A195" s="50" t="s">
        <v>136</v>
      </c>
      <c r="B195" s="50" t="s">
        <v>425</v>
      </c>
      <c r="C195" s="50" t="s">
        <v>136</v>
      </c>
      <c r="D195" s="48">
        <v>2</v>
      </c>
      <c r="AA195" s="51" t="s">
        <v>132</v>
      </c>
      <c r="AB195" s="28" t="s">
        <v>595</v>
      </c>
      <c r="AC195" s="28"/>
      <c r="AD195" t="s">
        <v>314</v>
      </c>
    </row>
    <row r="196" spans="1:30" x14ac:dyDescent="0.35">
      <c r="A196" s="50" t="s">
        <v>147</v>
      </c>
      <c r="B196" s="50" t="s">
        <v>425</v>
      </c>
      <c r="C196" s="50" t="s">
        <v>147</v>
      </c>
      <c r="D196" s="48">
        <v>12</v>
      </c>
      <c r="AA196" s="26" t="s">
        <v>153</v>
      </c>
      <c r="AB196" s="28" t="s">
        <v>595</v>
      </c>
      <c r="AC196" s="28"/>
      <c r="AD196" t="s">
        <v>314</v>
      </c>
    </row>
    <row r="197" spans="1:30" x14ac:dyDescent="0.35">
      <c r="A197" s="50" t="s">
        <v>172</v>
      </c>
      <c r="B197" s="50" t="s">
        <v>425</v>
      </c>
      <c r="C197" s="50" t="s">
        <v>172</v>
      </c>
      <c r="D197" s="48">
        <v>3</v>
      </c>
      <c r="AA197" s="51" t="s">
        <v>56</v>
      </c>
      <c r="AB197" s="28" t="s">
        <v>595</v>
      </c>
      <c r="AC197" s="28"/>
      <c r="AD197" t="s">
        <v>314</v>
      </c>
    </row>
    <row r="198" spans="1:30" x14ac:dyDescent="0.35">
      <c r="A198" s="50" t="s">
        <v>22</v>
      </c>
      <c r="B198" s="50" t="s">
        <v>425</v>
      </c>
      <c r="C198" s="50" t="s">
        <v>22</v>
      </c>
      <c r="D198" s="48">
        <v>2</v>
      </c>
      <c r="AA198" s="26" t="s">
        <v>57</v>
      </c>
      <c r="AB198" s="28" t="s">
        <v>595</v>
      </c>
      <c r="AC198" s="28"/>
      <c r="AD198" t="s">
        <v>314</v>
      </c>
    </row>
    <row r="199" spans="1:30" x14ac:dyDescent="0.35">
      <c r="A199" s="50" t="s">
        <v>145</v>
      </c>
      <c r="B199" s="50" t="s">
        <v>425</v>
      </c>
      <c r="C199" s="50" t="s">
        <v>145</v>
      </c>
      <c r="D199" s="48">
        <v>2</v>
      </c>
      <c r="AA199" s="51" t="s">
        <v>58</v>
      </c>
      <c r="AB199" s="28" t="s">
        <v>595</v>
      </c>
      <c r="AC199" s="28"/>
      <c r="AD199" t="s">
        <v>314</v>
      </c>
    </row>
    <row r="200" spans="1:30" x14ac:dyDescent="0.35">
      <c r="A200" s="50" t="s">
        <v>27</v>
      </c>
      <c r="B200" s="50" t="s">
        <v>425</v>
      </c>
      <c r="C200" s="50" t="s">
        <v>665</v>
      </c>
      <c r="D200" s="48">
        <v>2</v>
      </c>
      <c r="AA200" s="26" t="s">
        <v>59</v>
      </c>
      <c r="AB200" s="28" t="s">
        <v>595</v>
      </c>
      <c r="AC200" s="28"/>
      <c r="AD200" t="s">
        <v>314</v>
      </c>
    </row>
    <row r="201" spans="1:30" x14ac:dyDescent="0.35">
      <c r="A201" s="50" t="s">
        <v>149</v>
      </c>
      <c r="B201" s="50" t="s">
        <v>425</v>
      </c>
      <c r="C201" s="50" t="s">
        <v>149</v>
      </c>
      <c r="D201" s="48">
        <v>2</v>
      </c>
      <c r="AA201" s="51" t="s">
        <v>60</v>
      </c>
      <c r="AB201" s="28" t="s">
        <v>595</v>
      </c>
      <c r="AC201" s="28"/>
      <c r="AD201" t="s">
        <v>314</v>
      </c>
    </row>
    <row r="202" spans="1:30" x14ac:dyDescent="0.35">
      <c r="A202" s="50" t="s">
        <v>196</v>
      </c>
      <c r="B202" s="50" t="s">
        <v>425</v>
      </c>
      <c r="C202" s="50" t="s">
        <v>196</v>
      </c>
      <c r="D202" s="48">
        <v>2</v>
      </c>
      <c r="AA202" s="26" t="s">
        <v>133</v>
      </c>
      <c r="AB202" s="28" t="s">
        <v>595</v>
      </c>
      <c r="AC202" s="28"/>
      <c r="AD202" t="s">
        <v>314</v>
      </c>
    </row>
    <row r="203" spans="1:30" x14ac:dyDescent="0.35">
      <c r="A203" s="50" t="s">
        <v>465</v>
      </c>
      <c r="B203" s="50" t="s">
        <v>425</v>
      </c>
      <c r="C203" s="50" t="s">
        <v>159</v>
      </c>
      <c r="D203" s="48">
        <v>0</v>
      </c>
      <c r="AA203" s="51" t="s">
        <v>154</v>
      </c>
      <c r="AB203" s="28" t="s">
        <v>595</v>
      </c>
      <c r="AC203" s="28"/>
      <c r="AD203" t="s">
        <v>314</v>
      </c>
    </row>
    <row r="204" spans="1:30" x14ac:dyDescent="0.35">
      <c r="A204" s="50" t="s">
        <v>188</v>
      </c>
      <c r="B204" s="50" t="s">
        <v>425</v>
      </c>
      <c r="C204" s="50" t="s">
        <v>188</v>
      </c>
      <c r="D204" s="48">
        <v>47</v>
      </c>
      <c r="AA204" s="26" t="s">
        <v>61</v>
      </c>
      <c r="AB204" s="28" t="s">
        <v>595</v>
      </c>
      <c r="AC204" s="28"/>
      <c r="AD204" t="s">
        <v>314</v>
      </c>
    </row>
    <row r="205" spans="1:30" x14ac:dyDescent="0.35">
      <c r="A205" s="50" t="s">
        <v>8</v>
      </c>
      <c r="B205" s="50" t="s">
        <v>425</v>
      </c>
      <c r="C205" s="50" t="s">
        <v>466</v>
      </c>
      <c r="D205" s="48">
        <v>23</v>
      </c>
      <c r="AA205" s="51" t="s">
        <v>62</v>
      </c>
      <c r="AB205" s="28" t="s">
        <v>595</v>
      </c>
      <c r="AC205" s="28"/>
      <c r="AD205" t="s">
        <v>314</v>
      </c>
    </row>
    <row r="206" spans="1:30" x14ac:dyDescent="0.35">
      <c r="A206" s="50" t="s">
        <v>34</v>
      </c>
      <c r="B206" s="50" t="s">
        <v>425</v>
      </c>
      <c r="C206" s="50" t="s">
        <v>34</v>
      </c>
      <c r="D206" s="48">
        <v>5</v>
      </c>
      <c r="AA206" s="26" t="s">
        <v>63</v>
      </c>
      <c r="AB206" s="28" t="s">
        <v>595</v>
      </c>
      <c r="AC206" s="28"/>
      <c r="AD206" t="s">
        <v>314</v>
      </c>
    </row>
    <row r="207" spans="1:30" x14ac:dyDescent="0.35">
      <c r="A207" s="50" t="s">
        <v>129</v>
      </c>
      <c r="B207" s="50" t="s">
        <v>425</v>
      </c>
      <c r="C207" s="50" t="s">
        <v>129</v>
      </c>
      <c r="D207" s="48">
        <v>102</v>
      </c>
      <c r="AA207" s="51" t="s">
        <v>2</v>
      </c>
      <c r="AB207" s="28" t="s">
        <v>595</v>
      </c>
      <c r="AC207" s="28"/>
      <c r="AD207" t="s">
        <v>314</v>
      </c>
    </row>
    <row r="208" spans="1:30" x14ac:dyDescent="0.35">
      <c r="A208" s="50" t="s">
        <v>35</v>
      </c>
      <c r="B208" s="50" t="s">
        <v>425</v>
      </c>
      <c r="C208" s="50" t="s">
        <v>467</v>
      </c>
      <c r="D208" s="48">
        <v>13</v>
      </c>
      <c r="AA208" s="26" t="s">
        <v>64</v>
      </c>
      <c r="AB208" s="28" t="s">
        <v>595</v>
      </c>
      <c r="AC208" s="28"/>
      <c r="AD208" t="s">
        <v>314</v>
      </c>
    </row>
    <row r="209" spans="1:30" x14ac:dyDescent="0.35">
      <c r="A209" s="50" t="s">
        <v>36</v>
      </c>
      <c r="B209" s="50" t="s">
        <v>425</v>
      </c>
      <c r="C209" s="50" t="s">
        <v>36</v>
      </c>
      <c r="D209" s="48">
        <v>34</v>
      </c>
      <c r="AA209" s="51" t="s">
        <v>134</v>
      </c>
      <c r="AB209" s="28" t="s">
        <v>595</v>
      </c>
      <c r="AC209" s="28"/>
      <c r="AD209" t="s">
        <v>314</v>
      </c>
    </row>
    <row r="210" spans="1:30" x14ac:dyDescent="0.35">
      <c r="A210" s="50" t="s">
        <v>37</v>
      </c>
      <c r="B210" s="50" t="s">
        <v>425</v>
      </c>
      <c r="C210" s="50" t="s">
        <v>468</v>
      </c>
      <c r="D210" s="48">
        <v>2</v>
      </c>
      <c r="AA210" s="26" t="s">
        <v>155</v>
      </c>
      <c r="AB210" s="28" t="s">
        <v>595</v>
      </c>
      <c r="AC210" s="28"/>
      <c r="AD210" t="s">
        <v>314</v>
      </c>
    </row>
    <row r="211" spans="1:30" x14ac:dyDescent="0.35">
      <c r="A211" s="50" t="s">
        <v>38</v>
      </c>
      <c r="B211" s="50" t="s">
        <v>425</v>
      </c>
      <c r="C211" s="50" t="s">
        <v>38</v>
      </c>
      <c r="D211" s="48">
        <v>11</v>
      </c>
      <c r="AA211" s="51" t="s">
        <v>65</v>
      </c>
      <c r="AB211" s="28" t="s">
        <v>595</v>
      </c>
      <c r="AC211" s="28"/>
      <c r="AD211" t="s">
        <v>314</v>
      </c>
    </row>
    <row r="212" spans="1:30" x14ac:dyDescent="0.35">
      <c r="A212" s="50" t="s">
        <v>39</v>
      </c>
      <c r="B212" s="50" t="s">
        <v>425</v>
      </c>
      <c r="C212" s="50" t="s">
        <v>39</v>
      </c>
      <c r="D212" s="48">
        <v>22</v>
      </c>
      <c r="AA212" s="26" t="s">
        <v>66</v>
      </c>
      <c r="AB212" s="28" t="s">
        <v>595</v>
      </c>
      <c r="AC212" s="28"/>
      <c r="AD212" t="s">
        <v>314</v>
      </c>
    </row>
    <row r="213" spans="1:30" x14ac:dyDescent="0.35">
      <c r="A213" s="50" t="s">
        <v>40</v>
      </c>
      <c r="B213" s="50" t="s">
        <v>425</v>
      </c>
      <c r="C213" s="50" t="s">
        <v>469</v>
      </c>
      <c r="D213" s="48">
        <v>2</v>
      </c>
      <c r="AA213" s="51" t="s">
        <v>1</v>
      </c>
      <c r="AB213" s="28" t="s">
        <v>595</v>
      </c>
      <c r="AC213" s="28"/>
      <c r="AD213" t="s">
        <v>314</v>
      </c>
    </row>
    <row r="214" spans="1:30" x14ac:dyDescent="0.35">
      <c r="A214" s="50" t="s">
        <v>197</v>
      </c>
      <c r="B214" s="50" t="s">
        <v>425</v>
      </c>
      <c r="C214" s="50" t="s">
        <v>197</v>
      </c>
      <c r="D214" s="48">
        <v>3</v>
      </c>
      <c r="AA214" s="26" t="s">
        <v>67</v>
      </c>
      <c r="AB214" s="28" t="s">
        <v>595</v>
      </c>
      <c r="AC214" s="28"/>
      <c r="AD214" t="s">
        <v>314</v>
      </c>
    </row>
    <row r="215" spans="1:30" x14ac:dyDescent="0.35">
      <c r="A215" s="50" t="s">
        <v>215</v>
      </c>
      <c r="B215" s="50" t="s">
        <v>425</v>
      </c>
      <c r="C215" s="50" t="s">
        <v>215</v>
      </c>
      <c r="D215" s="48">
        <v>7</v>
      </c>
      <c r="AA215" s="51" t="s">
        <v>238</v>
      </c>
      <c r="AB215" s="28" t="s">
        <v>595</v>
      </c>
      <c r="AC215" s="28"/>
      <c r="AD215" t="s">
        <v>314</v>
      </c>
    </row>
    <row r="216" spans="1:30" x14ac:dyDescent="0.35">
      <c r="A216" s="50" t="s">
        <v>171</v>
      </c>
      <c r="B216" s="50" t="s">
        <v>425</v>
      </c>
      <c r="C216" s="50" t="s">
        <v>770</v>
      </c>
      <c r="D216" s="48">
        <v>6</v>
      </c>
      <c r="AA216" s="26" t="s">
        <v>156</v>
      </c>
      <c r="AB216" s="28" t="s">
        <v>595</v>
      </c>
      <c r="AC216" s="28"/>
      <c r="AD216" t="s">
        <v>314</v>
      </c>
    </row>
    <row r="217" spans="1:30" x14ac:dyDescent="0.35">
      <c r="A217" s="50" t="s">
        <v>161</v>
      </c>
      <c r="B217" s="50" t="s">
        <v>425</v>
      </c>
      <c r="C217" s="50" t="s">
        <v>771</v>
      </c>
      <c r="D217" s="48">
        <v>4</v>
      </c>
      <c r="AA217" s="51" t="s">
        <v>68</v>
      </c>
      <c r="AB217" s="28" t="s">
        <v>595</v>
      </c>
      <c r="AC217" s="28"/>
      <c r="AD217" t="s">
        <v>314</v>
      </c>
    </row>
    <row r="218" spans="1:30" x14ac:dyDescent="0.35">
      <c r="A218" s="50" t="s">
        <v>299</v>
      </c>
      <c r="B218" s="50" t="s">
        <v>425</v>
      </c>
      <c r="C218" s="50" t="s">
        <v>470</v>
      </c>
      <c r="D218" s="48">
        <v>0</v>
      </c>
    </row>
    <row r="219" spans="1:30" x14ac:dyDescent="0.35">
      <c r="A219" s="50" t="s">
        <v>591</v>
      </c>
      <c r="B219" s="50" t="s">
        <v>425</v>
      </c>
      <c r="C219" s="50" t="s">
        <v>592</v>
      </c>
      <c r="D219" s="48">
        <v>1</v>
      </c>
    </row>
    <row r="220" spans="1:30" x14ac:dyDescent="0.35">
      <c r="A220" s="50" t="s">
        <v>10</v>
      </c>
      <c r="B220" s="50" t="s">
        <v>425</v>
      </c>
      <c r="C220" s="50" t="s">
        <v>471</v>
      </c>
      <c r="D220" s="48">
        <v>4</v>
      </c>
    </row>
    <row r="221" spans="1:30" x14ac:dyDescent="0.35">
      <c r="A221" s="50" t="s">
        <v>11</v>
      </c>
      <c r="B221" s="50" t="s">
        <v>425</v>
      </c>
      <c r="C221" s="50" t="s">
        <v>471</v>
      </c>
      <c r="D221" s="48">
        <v>4</v>
      </c>
    </row>
    <row r="222" spans="1:30" x14ac:dyDescent="0.35">
      <c r="A222" s="50" t="s">
        <v>198</v>
      </c>
      <c r="B222" s="50" t="s">
        <v>425</v>
      </c>
      <c r="C222" s="50" t="s">
        <v>472</v>
      </c>
      <c r="D222" s="48">
        <v>3</v>
      </c>
    </row>
    <row r="223" spans="1:30" x14ac:dyDescent="0.35">
      <c r="A223" s="50" t="s">
        <v>14</v>
      </c>
      <c r="B223" s="50" t="s">
        <v>425</v>
      </c>
      <c r="C223" s="50" t="s">
        <v>473</v>
      </c>
      <c r="D223" s="48">
        <v>2</v>
      </c>
    </row>
    <row r="224" spans="1:30" x14ac:dyDescent="0.35">
      <c r="A224" s="50" t="s">
        <v>9</v>
      </c>
      <c r="B224" s="50" t="s">
        <v>425</v>
      </c>
      <c r="C224" s="50" t="s">
        <v>473</v>
      </c>
      <c r="D224" s="48">
        <v>3</v>
      </c>
    </row>
    <row r="225" spans="1:4" x14ac:dyDescent="0.35">
      <c r="A225" s="50" t="s">
        <v>13</v>
      </c>
      <c r="B225" s="50" t="s">
        <v>425</v>
      </c>
      <c r="C225" s="50" t="s">
        <v>474</v>
      </c>
      <c r="D225" s="48">
        <v>9</v>
      </c>
    </row>
    <row r="226" spans="1:4" x14ac:dyDescent="0.35">
      <c r="A226" s="50" t="s">
        <v>12</v>
      </c>
      <c r="B226" s="50" t="s">
        <v>425</v>
      </c>
      <c r="C226" s="50" t="s">
        <v>475</v>
      </c>
      <c r="D226" s="48">
        <v>6</v>
      </c>
    </row>
    <row r="227" spans="1:4" x14ac:dyDescent="0.35">
      <c r="A227" s="50" t="s">
        <v>189</v>
      </c>
      <c r="B227" s="50" t="s">
        <v>425</v>
      </c>
      <c r="C227" s="50" t="s">
        <v>189</v>
      </c>
      <c r="D227" s="48">
        <v>13</v>
      </c>
    </row>
    <row r="228" spans="1:4" x14ac:dyDescent="0.35">
      <c r="A228" s="50" t="s">
        <v>190</v>
      </c>
      <c r="B228" s="50" t="s">
        <v>425</v>
      </c>
      <c r="C228" s="50" t="s">
        <v>190</v>
      </c>
      <c r="D228" s="48">
        <v>14</v>
      </c>
    </row>
    <row r="229" spans="1:4" x14ac:dyDescent="0.35">
      <c r="A229" s="50" t="s">
        <v>476</v>
      </c>
      <c r="B229" s="50" t="s">
        <v>425</v>
      </c>
      <c r="C229" s="50" t="s">
        <v>476</v>
      </c>
      <c r="D229" s="48">
        <v>3</v>
      </c>
    </row>
    <row r="230" spans="1:4" x14ac:dyDescent="0.35">
      <c r="A230" s="50" t="s">
        <v>203</v>
      </c>
      <c r="B230" s="50" t="s">
        <v>425</v>
      </c>
      <c r="C230" s="50" t="s">
        <v>203</v>
      </c>
      <c r="D230" s="48">
        <v>0</v>
      </c>
    </row>
    <row r="231" spans="1:4" x14ac:dyDescent="0.35">
      <c r="A231" s="50" t="s">
        <v>202</v>
      </c>
      <c r="B231" s="50" t="s">
        <v>425</v>
      </c>
      <c r="C231" s="50" t="s">
        <v>202</v>
      </c>
      <c r="D231" s="48">
        <v>1</v>
      </c>
    </row>
    <row r="232" spans="1:4" x14ac:dyDescent="0.35">
      <c r="A232" s="50" t="s">
        <v>162</v>
      </c>
      <c r="B232" s="50" t="s">
        <v>425</v>
      </c>
      <c r="C232" s="50" t="s">
        <v>477</v>
      </c>
      <c r="D232" s="48">
        <v>1</v>
      </c>
    </row>
    <row r="233" spans="1:4" x14ac:dyDescent="0.35">
      <c r="A233" s="50" t="s">
        <v>134</v>
      </c>
      <c r="B233" s="50" t="s">
        <v>425</v>
      </c>
      <c r="C233" s="50" t="s">
        <v>502</v>
      </c>
      <c r="D233" s="48">
        <v>5</v>
      </c>
    </row>
    <row r="234" spans="1:4" x14ac:dyDescent="0.35">
      <c r="A234" s="50" t="s">
        <v>593</v>
      </c>
      <c r="B234" s="50" t="s">
        <v>425</v>
      </c>
      <c r="C234" s="50" t="s">
        <v>594</v>
      </c>
      <c r="D234" s="48">
        <v>0</v>
      </c>
    </row>
    <row r="235" spans="1:4" x14ac:dyDescent="0.35">
      <c r="A235" s="50" t="s">
        <v>60</v>
      </c>
      <c r="B235" s="50" t="s">
        <v>478</v>
      </c>
      <c r="C235" s="50" t="s">
        <v>479</v>
      </c>
      <c r="D235" s="48">
        <v>0</v>
      </c>
    </row>
    <row r="236" spans="1:4" x14ac:dyDescent="0.35">
      <c r="A236" s="50" t="s">
        <v>68</v>
      </c>
      <c r="B236" s="50" t="s">
        <v>478</v>
      </c>
      <c r="C236" s="50" t="s">
        <v>480</v>
      </c>
      <c r="D236" s="48">
        <v>13</v>
      </c>
    </row>
    <row r="237" spans="1:4" x14ac:dyDescent="0.35">
      <c r="A237" s="50" t="s">
        <v>61</v>
      </c>
      <c r="B237" s="50" t="s">
        <v>478</v>
      </c>
      <c r="C237" s="50" t="s">
        <v>480</v>
      </c>
      <c r="D237" s="48">
        <v>37</v>
      </c>
    </row>
    <row r="238" spans="1:4" x14ac:dyDescent="0.35">
      <c r="A238" s="50" t="s">
        <v>52</v>
      </c>
      <c r="B238" s="50" t="s">
        <v>478</v>
      </c>
      <c r="C238" s="50" t="s">
        <v>481</v>
      </c>
      <c r="D238" s="48">
        <v>0</v>
      </c>
    </row>
    <row r="239" spans="1:4" x14ac:dyDescent="0.35">
      <c r="A239" s="50" t="s">
        <v>75</v>
      </c>
      <c r="B239" s="50" t="s">
        <v>478</v>
      </c>
      <c r="C239" s="50" t="s">
        <v>482</v>
      </c>
      <c r="D239" s="48">
        <v>0</v>
      </c>
    </row>
    <row r="240" spans="1:4" x14ac:dyDescent="0.35">
      <c r="A240" s="50" t="s">
        <v>88</v>
      </c>
      <c r="B240" s="50" t="s">
        <v>478</v>
      </c>
      <c r="C240" s="50" t="s">
        <v>361</v>
      </c>
      <c r="D240" s="48">
        <v>0</v>
      </c>
    </row>
    <row r="241" spans="1:4" x14ac:dyDescent="0.35">
      <c r="A241" s="50" t="s">
        <v>80</v>
      </c>
      <c r="B241" s="50" t="s">
        <v>478</v>
      </c>
      <c r="C241" s="50" t="s">
        <v>393</v>
      </c>
      <c r="D241" s="48">
        <v>1</v>
      </c>
    </row>
    <row r="242" spans="1:4" x14ac:dyDescent="0.35">
      <c r="A242" s="50" t="s">
        <v>55</v>
      </c>
      <c r="B242" s="50" t="s">
        <v>478</v>
      </c>
      <c r="C242" s="50" t="s">
        <v>483</v>
      </c>
      <c r="D242" s="48">
        <v>4</v>
      </c>
    </row>
    <row r="243" spans="1:4" x14ac:dyDescent="0.35">
      <c r="A243" s="50" t="s">
        <v>49</v>
      </c>
      <c r="B243" s="50" t="s">
        <v>478</v>
      </c>
      <c r="C243" s="50" t="s">
        <v>484</v>
      </c>
      <c r="D243" s="48">
        <v>15</v>
      </c>
    </row>
    <row r="244" spans="1:4" x14ac:dyDescent="0.35">
      <c r="A244" s="50" t="s">
        <v>53</v>
      </c>
      <c r="B244" s="50" t="s">
        <v>478</v>
      </c>
      <c r="C244" s="50" t="s">
        <v>485</v>
      </c>
      <c r="D244" s="48">
        <v>5</v>
      </c>
    </row>
    <row r="245" spans="1:4" x14ac:dyDescent="0.35">
      <c r="A245" s="50" t="s">
        <v>54</v>
      </c>
      <c r="B245" s="50" t="s">
        <v>478</v>
      </c>
      <c r="C245" s="50" t="s">
        <v>486</v>
      </c>
      <c r="D245" s="48">
        <v>35</v>
      </c>
    </row>
    <row r="246" spans="1:4" x14ac:dyDescent="0.35">
      <c r="A246" s="50" t="s">
        <v>63</v>
      </c>
      <c r="B246" s="50" t="s">
        <v>478</v>
      </c>
      <c r="C246" s="50" t="s">
        <v>487</v>
      </c>
      <c r="D246" s="48">
        <v>5</v>
      </c>
    </row>
    <row r="247" spans="1:4" x14ac:dyDescent="0.35">
      <c r="A247" s="50" t="s">
        <v>58</v>
      </c>
      <c r="B247" s="50" t="s">
        <v>478</v>
      </c>
      <c r="C247" s="50" t="s">
        <v>488</v>
      </c>
      <c r="D247" s="48">
        <v>1</v>
      </c>
    </row>
    <row r="248" spans="1:4" x14ac:dyDescent="0.35">
      <c r="A248" s="50" t="s">
        <v>595</v>
      </c>
      <c r="B248" s="50" t="s">
        <v>478</v>
      </c>
      <c r="C248" s="50" t="s">
        <v>596</v>
      </c>
      <c r="D248" s="48">
        <v>25</v>
      </c>
    </row>
    <row r="249" spans="1:4" x14ac:dyDescent="0.35">
      <c r="A249" s="50" t="s">
        <v>48</v>
      </c>
      <c r="B249" s="50" t="s">
        <v>478</v>
      </c>
      <c r="C249" s="50" t="s">
        <v>772</v>
      </c>
      <c r="D249" s="48">
        <v>2</v>
      </c>
    </row>
    <row r="250" spans="1:4" x14ac:dyDescent="0.35">
      <c r="A250" s="50" t="s">
        <v>2</v>
      </c>
      <c r="B250" s="50" t="s">
        <v>478</v>
      </c>
      <c r="C250" s="50" t="s">
        <v>489</v>
      </c>
      <c r="D250" s="48">
        <v>3</v>
      </c>
    </row>
    <row r="251" spans="1:4" x14ac:dyDescent="0.35">
      <c r="A251" s="50" t="s">
        <v>59</v>
      </c>
      <c r="B251" s="50" t="s">
        <v>478</v>
      </c>
      <c r="C251" s="50" t="s">
        <v>490</v>
      </c>
      <c r="D251" s="48">
        <v>17</v>
      </c>
    </row>
    <row r="252" spans="1:4" x14ac:dyDescent="0.35">
      <c r="A252" s="50" t="s">
        <v>57</v>
      </c>
      <c r="B252" s="50" t="s">
        <v>478</v>
      </c>
      <c r="C252" s="50" t="s">
        <v>491</v>
      </c>
      <c r="D252" s="48">
        <v>4</v>
      </c>
    </row>
    <row r="253" spans="1:4" x14ac:dyDescent="0.35">
      <c r="A253" s="50" t="s">
        <v>65</v>
      </c>
      <c r="B253" s="50" t="s">
        <v>478</v>
      </c>
      <c r="C253" s="50" t="s">
        <v>492</v>
      </c>
      <c r="D253" s="48">
        <v>28</v>
      </c>
    </row>
    <row r="254" spans="1:4" x14ac:dyDescent="0.35">
      <c r="A254" s="50" t="s">
        <v>62</v>
      </c>
      <c r="B254" s="50" t="s">
        <v>478</v>
      </c>
      <c r="C254" s="50" t="s">
        <v>493</v>
      </c>
      <c r="D254" s="48">
        <v>15</v>
      </c>
    </row>
    <row r="255" spans="1:4" x14ac:dyDescent="0.35">
      <c r="A255" s="50" t="s">
        <v>67</v>
      </c>
      <c r="B255" s="50" t="s">
        <v>478</v>
      </c>
      <c r="C255" s="50" t="s">
        <v>494</v>
      </c>
      <c r="D255" s="48">
        <v>9</v>
      </c>
    </row>
    <row r="256" spans="1:4" x14ac:dyDescent="0.35">
      <c r="A256" s="50" t="s">
        <v>66</v>
      </c>
      <c r="B256" s="50" t="s">
        <v>478</v>
      </c>
      <c r="C256" s="50" t="s">
        <v>495</v>
      </c>
      <c r="D256" s="48">
        <v>7</v>
      </c>
    </row>
    <row r="257" spans="1:4" x14ac:dyDescent="0.35">
      <c r="A257" s="50" t="s">
        <v>56</v>
      </c>
      <c r="B257" s="50" t="s">
        <v>478</v>
      </c>
      <c r="C257" s="50" t="s">
        <v>496</v>
      </c>
      <c r="D257" s="48">
        <v>0</v>
      </c>
    </row>
    <row r="258" spans="1:4" x14ac:dyDescent="0.35">
      <c r="A258" s="50" t="s">
        <v>180</v>
      </c>
      <c r="B258" s="50" t="s">
        <v>478</v>
      </c>
      <c r="C258" s="50" t="s">
        <v>180</v>
      </c>
      <c r="D258" s="48">
        <v>0</v>
      </c>
    </row>
    <row r="259" spans="1:4" x14ac:dyDescent="0.35">
      <c r="A259" s="50" t="s">
        <v>50</v>
      </c>
      <c r="B259" s="50" t="s">
        <v>478</v>
      </c>
      <c r="C259" s="50" t="s">
        <v>50</v>
      </c>
      <c r="D259" s="48">
        <v>10</v>
      </c>
    </row>
    <row r="260" spans="1:4" x14ac:dyDescent="0.35">
      <c r="A260" s="50" t="s">
        <v>51</v>
      </c>
      <c r="B260" s="50" t="s">
        <v>478</v>
      </c>
      <c r="C260" s="50" t="s">
        <v>497</v>
      </c>
      <c r="D260" s="48">
        <v>0</v>
      </c>
    </row>
    <row r="261" spans="1:4" x14ac:dyDescent="0.35">
      <c r="A261" s="50" t="s">
        <v>498</v>
      </c>
      <c r="B261" s="50" t="s">
        <v>478</v>
      </c>
      <c r="C261" s="50" t="s">
        <v>498</v>
      </c>
      <c r="D261" s="48">
        <v>1</v>
      </c>
    </row>
    <row r="262" spans="1:4" x14ac:dyDescent="0.35">
      <c r="A262" s="50" t="s">
        <v>132</v>
      </c>
      <c r="B262" s="50" t="s">
        <v>478</v>
      </c>
      <c r="C262" s="50" t="s">
        <v>499</v>
      </c>
      <c r="D262" s="48">
        <v>1</v>
      </c>
    </row>
    <row r="263" spans="1:4" x14ac:dyDescent="0.35">
      <c r="A263" s="50" t="s">
        <v>153</v>
      </c>
      <c r="B263" s="50" t="s">
        <v>478</v>
      </c>
      <c r="C263" s="50" t="s">
        <v>153</v>
      </c>
      <c r="D263" s="48">
        <v>29</v>
      </c>
    </row>
    <row r="264" spans="1:4" x14ac:dyDescent="0.35">
      <c r="A264" s="50" t="s">
        <v>133</v>
      </c>
      <c r="B264" s="50" t="s">
        <v>478</v>
      </c>
      <c r="C264" s="50" t="s">
        <v>500</v>
      </c>
      <c r="D264" s="48">
        <v>27</v>
      </c>
    </row>
    <row r="265" spans="1:4" x14ac:dyDescent="0.35">
      <c r="A265" s="50" t="s">
        <v>154</v>
      </c>
      <c r="B265" s="50" t="s">
        <v>478</v>
      </c>
      <c r="C265" s="50" t="s">
        <v>154</v>
      </c>
      <c r="D265" s="48">
        <v>26</v>
      </c>
    </row>
    <row r="266" spans="1:4" x14ac:dyDescent="0.35">
      <c r="A266" s="50" t="s">
        <v>64</v>
      </c>
      <c r="B266" s="50" t="s">
        <v>478</v>
      </c>
      <c r="C266" s="50" t="s">
        <v>501</v>
      </c>
      <c r="D266" s="48">
        <v>1</v>
      </c>
    </row>
    <row r="267" spans="1:4" x14ac:dyDescent="0.35">
      <c r="A267" s="50" t="s">
        <v>134</v>
      </c>
      <c r="B267" s="50" t="s">
        <v>478</v>
      </c>
      <c r="C267" s="50" t="s">
        <v>502</v>
      </c>
      <c r="D267" s="48">
        <v>5</v>
      </c>
    </row>
    <row r="268" spans="1:4" x14ac:dyDescent="0.35">
      <c r="A268" s="50" t="s">
        <v>155</v>
      </c>
      <c r="B268" s="50" t="s">
        <v>478</v>
      </c>
      <c r="C268" s="50" t="s">
        <v>155</v>
      </c>
      <c r="D268" s="48">
        <v>33</v>
      </c>
    </row>
    <row r="269" spans="1:4" x14ac:dyDescent="0.35">
      <c r="A269" s="50" t="s">
        <v>1</v>
      </c>
      <c r="B269" s="50" t="s">
        <v>478</v>
      </c>
      <c r="C269" s="50" t="s">
        <v>503</v>
      </c>
      <c r="D269" s="48">
        <v>0</v>
      </c>
    </row>
    <row r="270" spans="1:4" x14ac:dyDescent="0.35">
      <c r="A270" s="50" t="s">
        <v>238</v>
      </c>
      <c r="B270" s="50" t="s">
        <v>478</v>
      </c>
      <c r="C270" s="50" t="s">
        <v>238</v>
      </c>
      <c r="D270" s="48">
        <v>23</v>
      </c>
    </row>
    <row r="271" spans="1:4" x14ac:dyDescent="0.35">
      <c r="A271" s="50" t="s">
        <v>156</v>
      </c>
      <c r="B271" s="50" t="s">
        <v>478</v>
      </c>
      <c r="C271" s="50" t="s">
        <v>156</v>
      </c>
      <c r="D271" s="48">
        <v>21</v>
      </c>
    </row>
    <row r="272" spans="1:4" x14ac:dyDescent="0.35">
      <c r="A272" s="50" t="s">
        <v>140</v>
      </c>
      <c r="B272" s="50" t="s">
        <v>478</v>
      </c>
      <c r="C272" s="50" t="s">
        <v>504</v>
      </c>
      <c r="D272" s="48">
        <v>0</v>
      </c>
    </row>
    <row r="273" spans="1:4" x14ac:dyDescent="0.35">
      <c r="A273" s="50" t="s">
        <v>692</v>
      </c>
      <c r="B273" s="50" t="s">
        <v>505</v>
      </c>
      <c r="C273" s="50" t="s">
        <v>352</v>
      </c>
      <c r="D273" s="48">
        <v>1</v>
      </c>
    </row>
    <row r="274" spans="1:4" x14ac:dyDescent="0.35">
      <c r="A274" s="50" t="s">
        <v>506</v>
      </c>
      <c r="B274" s="50" t="s">
        <v>505</v>
      </c>
      <c r="C274" s="50" t="s">
        <v>506</v>
      </c>
      <c r="D274" s="48">
        <v>0</v>
      </c>
    </row>
    <row r="275" spans="1:4" x14ac:dyDescent="0.35">
      <c r="A275" s="50" t="s">
        <v>88</v>
      </c>
      <c r="B275" s="50" t="s">
        <v>505</v>
      </c>
      <c r="C275" s="50" t="s">
        <v>384</v>
      </c>
      <c r="D275" s="48">
        <v>0</v>
      </c>
    </row>
    <row r="276" spans="1:4" x14ac:dyDescent="0.35">
      <c r="A276" s="50" t="s">
        <v>116</v>
      </c>
      <c r="B276" s="50" t="s">
        <v>505</v>
      </c>
      <c r="C276" s="50" t="s">
        <v>507</v>
      </c>
      <c r="D276" s="48">
        <v>5</v>
      </c>
    </row>
    <row r="277" spans="1:4" x14ac:dyDescent="0.35">
      <c r="A277" s="50" t="s">
        <v>70</v>
      </c>
      <c r="B277" s="50" t="s">
        <v>505</v>
      </c>
      <c r="C277" s="50" t="s">
        <v>386</v>
      </c>
      <c r="D277" s="48">
        <v>2</v>
      </c>
    </row>
    <row r="278" spans="1:4" x14ac:dyDescent="0.35">
      <c r="A278" s="50" t="s">
        <v>75</v>
      </c>
      <c r="B278" s="50" t="s">
        <v>505</v>
      </c>
      <c r="C278" s="50" t="s">
        <v>482</v>
      </c>
      <c r="D278" s="48">
        <v>0</v>
      </c>
    </row>
    <row r="279" spans="1:4" x14ac:dyDescent="0.35">
      <c r="A279" s="50" t="s">
        <v>117</v>
      </c>
      <c r="B279" s="50" t="s">
        <v>505</v>
      </c>
      <c r="C279" s="50" t="s">
        <v>508</v>
      </c>
      <c r="D279" s="48">
        <v>5</v>
      </c>
    </row>
    <row r="280" spans="1:4" x14ac:dyDescent="0.35">
      <c r="A280" s="50" t="s">
        <v>118</v>
      </c>
      <c r="B280" s="50" t="s">
        <v>505</v>
      </c>
      <c r="C280" s="50" t="s">
        <v>509</v>
      </c>
      <c r="D280" s="48">
        <v>12</v>
      </c>
    </row>
    <row r="281" spans="1:4" x14ac:dyDescent="0.35">
      <c r="A281" s="50" t="s">
        <v>119</v>
      </c>
      <c r="B281" s="50" t="s">
        <v>505</v>
      </c>
      <c r="C281" s="50" t="s">
        <v>510</v>
      </c>
      <c r="D281" s="48">
        <v>4</v>
      </c>
    </row>
    <row r="282" spans="1:4" x14ac:dyDescent="0.35">
      <c r="A282" s="50" t="s">
        <v>163</v>
      </c>
      <c r="B282" s="50" t="s">
        <v>505</v>
      </c>
      <c r="C282" s="50" t="s">
        <v>511</v>
      </c>
      <c r="D282" s="48">
        <v>3</v>
      </c>
    </row>
    <row r="283" spans="1:4" x14ac:dyDescent="0.35">
      <c r="A283" s="50" t="s">
        <v>89</v>
      </c>
      <c r="B283" s="50" t="s">
        <v>505</v>
      </c>
      <c r="C283" s="50" t="s">
        <v>387</v>
      </c>
      <c r="D283" s="48">
        <v>3</v>
      </c>
    </row>
    <row r="284" spans="1:4" x14ac:dyDescent="0.35">
      <c r="A284" s="50" t="s">
        <v>88</v>
      </c>
      <c r="B284" s="50" t="s">
        <v>505</v>
      </c>
      <c r="C284" s="50" t="s">
        <v>361</v>
      </c>
      <c r="D284" s="48">
        <v>0</v>
      </c>
    </row>
    <row r="285" spans="1:4" x14ac:dyDescent="0.35">
      <c r="A285" s="50" t="s">
        <v>69</v>
      </c>
      <c r="B285" s="50" t="s">
        <v>505</v>
      </c>
      <c r="C285" s="50" t="s">
        <v>388</v>
      </c>
      <c r="D285" s="48">
        <v>3</v>
      </c>
    </row>
    <row r="286" spans="1:4" x14ac:dyDescent="0.35">
      <c r="A286" s="50" t="s">
        <v>73</v>
      </c>
      <c r="B286" s="50" t="s">
        <v>505</v>
      </c>
      <c r="C286" s="50" t="s">
        <v>389</v>
      </c>
      <c r="D286" s="48">
        <v>3</v>
      </c>
    </row>
    <row r="287" spans="1:4" x14ac:dyDescent="0.35">
      <c r="A287" s="50" t="s">
        <v>78</v>
      </c>
      <c r="B287" s="50" t="s">
        <v>505</v>
      </c>
      <c r="C287" s="50" t="s">
        <v>390</v>
      </c>
      <c r="D287" s="48">
        <v>6</v>
      </c>
    </row>
    <row r="288" spans="1:4" x14ac:dyDescent="0.35">
      <c r="A288" s="50" t="s">
        <v>85</v>
      </c>
      <c r="B288" s="50" t="s">
        <v>505</v>
      </c>
      <c r="C288" s="50" t="s">
        <v>391</v>
      </c>
      <c r="D288" s="48">
        <v>3</v>
      </c>
    </row>
    <row r="289" spans="1:4" x14ac:dyDescent="0.35">
      <c r="A289" s="50" t="s">
        <v>81</v>
      </c>
      <c r="B289" s="50" t="s">
        <v>505</v>
      </c>
      <c r="C289" s="50" t="s">
        <v>392</v>
      </c>
      <c r="D289" s="48">
        <v>5</v>
      </c>
    </row>
    <row r="290" spans="1:4" x14ac:dyDescent="0.35">
      <c r="A290" s="50" t="s">
        <v>80</v>
      </c>
      <c r="B290" s="50" t="s">
        <v>505</v>
      </c>
      <c r="C290" s="50" t="s">
        <v>393</v>
      </c>
      <c r="D290" s="48">
        <v>1</v>
      </c>
    </row>
    <row r="291" spans="1:4" x14ac:dyDescent="0.35">
      <c r="A291" s="50" t="s">
        <v>74</v>
      </c>
      <c r="B291" s="50" t="s">
        <v>505</v>
      </c>
      <c r="C291" s="50" t="s">
        <v>512</v>
      </c>
      <c r="D291" s="48">
        <v>4</v>
      </c>
    </row>
    <row r="292" spans="1:4" x14ac:dyDescent="0.35">
      <c r="A292" s="50" t="s">
        <v>79</v>
      </c>
      <c r="B292" s="50" t="s">
        <v>505</v>
      </c>
      <c r="C292" s="50" t="s">
        <v>394</v>
      </c>
      <c r="D292" s="48">
        <v>5</v>
      </c>
    </row>
    <row r="293" spans="1:4" x14ac:dyDescent="0.35">
      <c r="A293" s="50" t="s">
        <v>83</v>
      </c>
      <c r="B293" s="50" t="s">
        <v>505</v>
      </c>
      <c r="C293" s="50" t="s">
        <v>395</v>
      </c>
      <c r="D293" s="48">
        <v>3</v>
      </c>
    </row>
    <row r="294" spans="1:4" x14ac:dyDescent="0.35">
      <c r="A294" s="50" t="s">
        <v>71</v>
      </c>
      <c r="B294" s="50" t="s">
        <v>505</v>
      </c>
      <c r="C294" s="50" t="s">
        <v>396</v>
      </c>
      <c r="D294" s="48">
        <v>2</v>
      </c>
    </row>
    <row r="295" spans="1:4" x14ac:dyDescent="0.35">
      <c r="A295" s="50" t="s">
        <v>87</v>
      </c>
      <c r="B295" s="50" t="s">
        <v>505</v>
      </c>
      <c r="C295" s="50" t="s">
        <v>397</v>
      </c>
      <c r="D295" s="48">
        <v>0</v>
      </c>
    </row>
    <row r="296" spans="1:4" x14ac:dyDescent="0.35">
      <c r="A296" s="50" t="s">
        <v>746</v>
      </c>
      <c r="B296" s="50" t="s">
        <v>505</v>
      </c>
      <c r="C296" s="50" t="s">
        <v>746</v>
      </c>
      <c r="D296" s="48">
        <v>2</v>
      </c>
    </row>
    <row r="297" spans="1:4" x14ac:dyDescent="0.35">
      <c r="A297" s="50" t="s">
        <v>72</v>
      </c>
      <c r="B297" s="50" t="s">
        <v>505</v>
      </c>
      <c r="C297" s="50" t="s">
        <v>714</v>
      </c>
      <c r="D297" s="48">
        <v>5</v>
      </c>
    </row>
    <row r="298" spans="1:4" x14ac:dyDescent="0.35">
      <c r="A298" s="50" t="s">
        <v>727</v>
      </c>
      <c r="B298" s="50" t="s">
        <v>505</v>
      </c>
      <c r="C298" s="50" t="s">
        <v>727</v>
      </c>
      <c r="D298" s="48">
        <v>4</v>
      </c>
    </row>
    <row r="299" spans="1:4" x14ac:dyDescent="0.35">
      <c r="A299" s="50" t="s">
        <v>699</v>
      </c>
      <c r="B299" s="50" t="s">
        <v>505</v>
      </c>
      <c r="C299" s="50" t="s">
        <v>699</v>
      </c>
      <c r="D299" s="48">
        <v>0</v>
      </c>
    </row>
    <row r="300" spans="1:4" x14ac:dyDescent="0.35">
      <c r="A300" s="50" t="s">
        <v>698</v>
      </c>
      <c r="B300" s="50" t="s">
        <v>505</v>
      </c>
      <c r="C300" s="50" t="s">
        <v>698</v>
      </c>
      <c r="D300" s="48">
        <v>6</v>
      </c>
    </row>
    <row r="301" spans="1:4" x14ac:dyDescent="0.35">
      <c r="A301" s="50" t="s">
        <v>701</v>
      </c>
      <c r="B301" s="50" t="s">
        <v>505</v>
      </c>
      <c r="C301" s="50" t="s">
        <v>701</v>
      </c>
      <c r="D301" s="48">
        <v>0</v>
      </c>
    </row>
    <row r="302" spans="1:4" x14ac:dyDescent="0.35">
      <c r="A302" s="50" t="s">
        <v>700</v>
      </c>
      <c r="B302" s="50" t="s">
        <v>505</v>
      </c>
      <c r="C302" s="50" t="s">
        <v>700</v>
      </c>
      <c r="D302" s="48">
        <v>0</v>
      </c>
    </row>
    <row r="303" spans="1:4" x14ac:dyDescent="0.35">
      <c r="A303" s="50" t="s">
        <v>176</v>
      </c>
      <c r="B303" s="50" t="s">
        <v>505</v>
      </c>
      <c r="C303" s="50" t="s">
        <v>176</v>
      </c>
      <c r="D303" s="48">
        <v>2</v>
      </c>
    </row>
    <row r="304" spans="1:4" x14ac:dyDescent="0.35">
      <c r="A304" s="50" t="s">
        <v>513</v>
      </c>
      <c r="B304" s="50" t="s">
        <v>505</v>
      </c>
      <c r="C304" s="50" t="s">
        <v>513</v>
      </c>
      <c r="D304" s="48">
        <v>2</v>
      </c>
    </row>
    <row r="305" spans="1:4" x14ac:dyDescent="0.35">
      <c r="A305" s="50" t="s">
        <v>747</v>
      </c>
      <c r="B305" s="50" t="s">
        <v>505</v>
      </c>
      <c r="C305" s="50" t="s">
        <v>747</v>
      </c>
      <c r="D305" s="48">
        <v>0</v>
      </c>
    </row>
    <row r="306" spans="1:4" x14ac:dyDescent="0.35">
      <c r="A306" s="50" t="s">
        <v>748</v>
      </c>
      <c r="B306" s="50" t="s">
        <v>505</v>
      </c>
      <c r="C306" s="50" t="s">
        <v>748</v>
      </c>
      <c r="D306" s="48">
        <v>0</v>
      </c>
    </row>
    <row r="307" spans="1:4" x14ac:dyDescent="0.35">
      <c r="A307" s="50" t="s">
        <v>749</v>
      </c>
      <c r="B307" s="50" t="s">
        <v>505</v>
      </c>
      <c r="C307" s="50" t="s">
        <v>749</v>
      </c>
      <c r="D307" s="48">
        <v>3</v>
      </c>
    </row>
    <row r="308" spans="1:4" x14ac:dyDescent="0.35">
      <c r="A308" s="50" t="s">
        <v>684</v>
      </c>
      <c r="B308" s="50" t="s">
        <v>505</v>
      </c>
      <c r="C308" s="50" t="s">
        <v>514</v>
      </c>
      <c r="D308" s="48">
        <v>0</v>
      </c>
    </row>
    <row r="309" spans="1:4" x14ac:dyDescent="0.35">
      <c r="A309" s="50" t="s">
        <v>730</v>
      </c>
      <c r="B309" s="50" t="s">
        <v>505</v>
      </c>
      <c r="C309" s="50" t="s">
        <v>731</v>
      </c>
      <c r="D309" s="48">
        <v>0</v>
      </c>
    </row>
    <row r="310" spans="1:4" x14ac:dyDescent="0.35">
      <c r="A310" s="50" t="s">
        <v>76</v>
      </c>
      <c r="B310" s="50" t="s">
        <v>505</v>
      </c>
      <c r="C310" s="50" t="s">
        <v>399</v>
      </c>
      <c r="D310" s="48">
        <v>0</v>
      </c>
    </row>
    <row r="311" spans="1:4" x14ac:dyDescent="0.35">
      <c r="A311" s="50" t="s">
        <v>729</v>
      </c>
      <c r="B311" s="50" t="s">
        <v>505</v>
      </c>
      <c r="C311" s="50" t="s">
        <v>729</v>
      </c>
      <c r="D311" s="48">
        <v>1</v>
      </c>
    </row>
    <row r="312" spans="1:4" x14ac:dyDescent="0.35">
      <c r="A312" s="50" t="s">
        <v>715</v>
      </c>
      <c r="B312" s="50" t="s">
        <v>505</v>
      </c>
      <c r="C312" s="50" t="s">
        <v>716</v>
      </c>
      <c r="D312" s="48">
        <v>1</v>
      </c>
    </row>
    <row r="313" spans="1:4" x14ac:dyDescent="0.35">
      <c r="A313" s="50" t="s">
        <v>177</v>
      </c>
      <c r="B313" s="50" t="s">
        <v>505</v>
      </c>
      <c r="C313" s="50" t="s">
        <v>177</v>
      </c>
      <c r="D313" s="48">
        <v>0</v>
      </c>
    </row>
    <row r="314" spans="1:4" x14ac:dyDescent="0.35">
      <c r="A314" s="50" t="s">
        <v>152</v>
      </c>
      <c r="B314" s="50" t="s">
        <v>505</v>
      </c>
      <c r="C314" s="50" t="s">
        <v>152</v>
      </c>
      <c r="D314" s="48">
        <v>3</v>
      </c>
    </row>
    <row r="315" spans="1:4" x14ac:dyDescent="0.35">
      <c r="A315" s="50" t="s">
        <v>750</v>
      </c>
      <c r="B315" s="50" t="s">
        <v>505</v>
      </c>
      <c r="C315" s="50" t="s">
        <v>750</v>
      </c>
      <c r="D315" s="48">
        <v>0</v>
      </c>
    </row>
    <row r="316" spans="1:4" x14ac:dyDescent="0.35">
      <c r="A316" s="50" t="s">
        <v>751</v>
      </c>
      <c r="B316" s="50" t="s">
        <v>505</v>
      </c>
      <c r="C316" s="50" t="s">
        <v>751</v>
      </c>
      <c r="D316" s="48">
        <v>0</v>
      </c>
    </row>
    <row r="317" spans="1:4" x14ac:dyDescent="0.35">
      <c r="A317" s="50" t="s">
        <v>752</v>
      </c>
      <c r="B317" s="50" t="s">
        <v>505</v>
      </c>
      <c r="C317" s="50" t="s">
        <v>752</v>
      </c>
      <c r="D317" s="48">
        <v>0</v>
      </c>
    </row>
    <row r="318" spans="1:4" x14ac:dyDescent="0.35">
      <c r="A318" s="50" t="s">
        <v>717</v>
      </c>
      <c r="B318" s="50" t="s">
        <v>505</v>
      </c>
      <c r="C318" s="50" t="s">
        <v>718</v>
      </c>
      <c r="D318" s="48">
        <v>0</v>
      </c>
    </row>
    <row r="319" spans="1:4" x14ac:dyDescent="0.35">
      <c r="A319" s="50" t="s">
        <v>685</v>
      </c>
      <c r="B319" s="50" t="s">
        <v>505</v>
      </c>
      <c r="C319" s="50" t="s">
        <v>515</v>
      </c>
      <c r="D319" s="48">
        <v>6</v>
      </c>
    </row>
    <row r="320" spans="1:4" x14ac:dyDescent="0.35">
      <c r="A320" s="50" t="s">
        <v>728</v>
      </c>
      <c r="B320" s="50" t="s">
        <v>505</v>
      </c>
      <c r="C320" s="50" t="s">
        <v>728</v>
      </c>
      <c r="D320" s="48">
        <v>1</v>
      </c>
    </row>
    <row r="321" spans="1:4" x14ac:dyDescent="0.35">
      <c r="A321" s="50" t="s">
        <v>723</v>
      </c>
      <c r="B321" s="50" t="s">
        <v>505</v>
      </c>
      <c r="C321" s="50" t="s">
        <v>723</v>
      </c>
      <c r="D321" s="48">
        <v>0</v>
      </c>
    </row>
    <row r="322" spans="1:4" x14ac:dyDescent="0.35">
      <c r="A322" s="50" t="s">
        <v>178</v>
      </c>
      <c r="B322" s="50" t="s">
        <v>505</v>
      </c>
      <c r="C322" s="50" t="s">
        <v>178</v>
      </c>
      <c r="D322" s="48">
        <v>1</v>
      </c>
    </row>
    <row r="323" spans="1:4" x14ac:dyDescent="0.35">
      <c r="A323" s="50" t="s">
        <v>300</v>
      </c>
      <c r="B323" s="50" t="s">
        <v>505</v>
      </c>
      <c r="C323" s="50" t="s">
        <v>516</v>
      </c>
      <c r="D323" s="48">
        <v>1</v>
      </c>
    </row>
    <row r="324" spans="1:4" x14ac:dyDescent="0.35">
      <c r="A324" s="50" t="s">
        <v>753</v>
      </c>
      <c r="B324" s="50" t="s">
        <v>505</v>
      </c>
      <c r="C324" s="50" t="s">
        <v>753</v>
      </c>
      <c r="D324" s="48">
        <v>0</v>
      </c>
    </row>
    <row r="325" spans="1:4" x14ac:dyDescent="0.35">
      <c r="A325" s="50" t="s">
        <v>754</v>
      </c>
      <c r="B325" s="50" t="s">
        <v>505</v>
      </c>
      <c r="C325" s="50" t="s">
        <v>754</v>
      </c>
      <c r="D325" s="48">
        <v>0</v>
      </c>
    </row>
    <row r="326" spans="1:4" x14ac:dyDescent="0.35">
      <c r="A326" s="50" t="s">
        <v>755</v>
      </c>
      <c r="B326" s="50" t="s">
        <v>505</v>
      </c>
      <c r="C326" s="50" t="s">
        <v>755</v>
      </c>
      <c r="D326" s="48">
        <v>1</v>
      </c>
    </row>
    <row r="327" spans="1:4" x14ac:dyDescent="0.35">
      <c r="A327" s="50" t="s">
        <v>201</v>
      </c>
      <c r="B327" s="50" t="s">
        <v>505</v>
      </c>
      <c r="C327" s="50" t="s">
        <v>201</v>
      </c>
      <c r="D327" s="48">
        <v>0</v>
      </c>
    </row>
    <row r="328" spans="1:4" x14ac:dyDescent="0.35">
      <c r="A328" s="50" t="s">
        <v>702</v>
      </c>
      <c r="B328" s="50" t="s">
        <v>505</v>
      </c>
      <c r="C328" s="50" t="s">
        <v>702</v>
      </c>
      <c r="D328" s="48">
        <v>0</v>
      </c>
    </row>
    <row r="329" spans="1:4" x14ac:dyDescent="0.35">
      <c r="A329" s="50" t="s">
        <v>84</v>
      </c>
      <c r="B329" s="50" t="s">
        <v>505</v>
      </c>
      <c r="C329" s="50" t="s">
        <v>84</v>
      </c>
      <c r="D329" s="48">
        <v>2</v>
      </c>
    </row>
    <row r="330" spans="1:4" x14ac:dyDescent="0.35">
      <c r="A330" s="50" t="s">
        <v>721</v>
      </c>
      <c r="B330" s="50" t="s">
        <v>505</v>
      </c>
      <c r="C330" s="50" t="s">
        <v>724</v>
      </c>
      <c r="D330" s="48">
        <v>1</v>
      </c>
    </row>
    <row r="331" spans="1:4" x14ac:dyDescent="0.35">
      <c r="A331" s="50" t="s">
        <v>703</v>
      </c>
      <c r="B331" s="50" t="s">
        <v>505</v>
      </c>
      <c r="C331" s="50" t="s">
        <v>703</v>
      </c>
      <c r="D331" s="48">
        <v>0</v>
      </c>
    </row>
    <row r="332" spans="1:4" x14ac:dyDescent="0.35">
      <c r="A332" s="50" t="s">
        <v>726</v>
      </c>
      <c r="B332" s="50" t="s">
        <v>505</v>
      </c>
      <c r="C332" s="50" t="s">
        <v>726</v>
      </c>
      <c r="D332" s="48">
        <v>1</v>
      </c>
    </row>
    <row r="333" spans="1:4" x14ac:dyDescent="0.35">
      <c r="A333" s="50" t="s">
        <v>82</v>
      </c>
      <c r="B333" s="50" t="s">
        <v>505</v>
      </c>
      <c r="C333" s="50" t="s">
        <v>82</v>
      </c>
      <c r="D333" s="48">
        <v>4</v>
      </c>
    </row>
    <row r="334" spans="1:4" x14ac:dyDescent="0.35">
      <c r="A334" s="50" t="s">
        <v>179</v>
      </c>
      <c r="B334" s="50" t="s">
        <v>505</v>
      </c>
      <c r="C334" s="50" t="s">
        <v>179</v>
      </c>
      <c r="D334" s="48">
        <v>2</v>
      </c>
    </row>
    <row r="335" spans="1:4" x14ac:dyDescent="0.35">
      <c r="A335" s="50" t="s">
        <v>517</v>
      </c>
      <c r="B335" s="50" t="s">
        <v>505</v>
      </c>
      <c r="C335" s="50" t="s">
        <v>517</v>
      </c>
      <c r="D335" s="48">
        <v>2</v>
      </c>
    </row>
    <row r="336" spans="1:4" x14ac:dyDescent="0.35">
      <c r="A336" s="50" t="s">
        <v>756</v>
      </c>
      <c r="B336" s="50" t="s">
        <v>505</v>
      </c>
      <c r="C336" s="50" t="s">
        <v>756</v>
      </c>
      <c r="D336" s="48">
        <v>0</v>
      </c>
    </row>
    <row r="337" spans="1:4" x14ac:dyDescent="0.35">
      <c r="A337" s="50" t="s">
        <v>757</v>
      </c>
      <c r="B337" s="50" t="s">
        <v>505</v>
      </c>
      <c r="C337" s="50" t="s">
        <v>757</v>
      </c>
      <c r="D337" s="48">
        <v>0</v>
      </c>
    </row>
    <row r="338" spans="1:4" x14ac:dyDescent="0.35">
      <c r="A338" s="50" t="s">
        <v>758</v>
      </c>
      <c r="B338" s="50" t="s">
        <v>505</v>
      </c>
      <c r="C338" s="50" t="s">
        <v>758</v>
      </c>
      <c r="D338" s="48">
        <v>0</v>
      </c>
    </row>
    <row r="339" spans="1:4" x14ac:dyDescent="0.35">
      <c r="A339" s="50" t="s">
        <v>719</v>
      </c>
      <c r="B339" s="50" t="s">
        <v>505</v>
      </c>
      <c r="C339" s="50" t="s">
        <v>719</v>
      </c>
      <c r="D339" s="48">
        <v>6</v>
      </c>
    </row>
    <row r="340" spans="1:4" x14ac:dyDescent="0.35">
      <c r="A340" s="50" t="s">
        <v>704</v>
      </c>
      <c r="B340" s="50" t="s">
        <v>505</v>
      </c>
      <c r="C340" s="50" t="s">
        <v>704</v>
      </c>
      <c r="D340" s="48">
        <v>0</v>
      </c>
    </row>
    <row r="341" spans="1:4" x14ac:dyDescent="0.35">
      <c r="A341" s="50" t="s">
        <v>400</v>
      </c>
      <c r="B341" s="50" t="s">
        <v>505</v>
      </c>
      <c r="C341" s="50" t="s">
        <v>400</v>
      </c>
      <c r="D341" s="48">
        <v>2</v>
      </c>
    </row>
    <row r="342" spans="1:4" x14ac:dyDescent="0.35">
      <c r="A342" s="50" t="s">
        <v>722</v>
      </c>
      <c r="B342" s="50" t="s">
        <v>505</v>
      </c>
      <c r="C342" s="50" t="s">
        <v>725</v>
      </c>
      <c r="D342" s="48">
        <v>0</v>
      </c>
    </row>
    <row r="343" spans="1:4" x14ac:dyDescent="0.35">
      <c r="A343" s="50" t="s">
        <v>705</v>
      </c>
      <c r="B343" s="50" t="s">
        <v>505</v>
      </c>
      <c r="C343" s="50" t="s">
        <v>705</v>
      </c>
      <c r="D343" s="48">
        <v>0</v>
      </c>
    </row>
    <row r="344" spans="1:4" x14ac:dyDescent="0.35">
      <c r="A344" s="50" t="s">
        <v>720</v>
      </c>
      <c r="B344" s="50" t="s">
        <v>505</v>
      </c>
      <c r="C344" s="50" t="s">
        <v>720</v>
      </c>
      <c r="D344" s="48">
        <v>0</v>
      </c>
    </row>
    <row r="345" spans="1:4" x14ac:dyDescent="0.35">
      <c r="A345" s="50" t="s">
        <v>86</v>
      </c>
      <c r="B345" s="50" t="s">
        <v>505</v>
      </c>
      <c r="C345" s="50" t="s">
        <v>86</v>
      </c>
      <c r="D345" s="48">
        <v>0</v>
      </c>
    </row>
    <row r="346" spans="1:4" x14ac:dyDescent="0.35">
      <c r="A346" s="50" t="s">
        <v>518</v>
      </c>
      <c r="B346" s="50" t="s">
        <v>505</v>
      </c>
      <c r="C346" s="50" t="s">
        <v>518</v>
      </c>
      <c r="D346" s="48">
        <v>0</v>
      </c>
    </row>
    <row r="347" spans="1:4" x14ac:dyDescent="0.35">
      <c r="A347" s="50" t="s">
        <v>773</v>
      </c>
      <c r="B347" s="50" t="s">
        <v>505</v>
      </c>
      <c r="C347" s="50" t="s">
        <v>773</v>
      </c>
      <c r="D347" s="48">
        <v>0</v>
      </c>
    </row>
    <row r="348" spans="1:4" x14ac:dyDescent="0.35">
      <c r="A348" s="50" t="s">
        <v>759</v>
      </c>
      <c r="B348" s="50" t="s">
        <v>505</v>
      </c>
      <c r="C348" s="50" t="s">
        <v>759</v>
      </c>
      <c r="D348" s="48">
        <v>0</v>
      </c>
    </row>
    <row r="349" spans="1:4" x14ac:dyDescent="0.35">
      <c r="A349" s="50" t="s">
        <v>164</v>
      </c>
      <c r="B349" s="50" t="s">
        <v>505</v>
      </c>
      <c r="C349" s="50" t="s">
        <v>765</v>
      </c>
      <c r="D349" s="48">
        <v>1</v>
      </c>
    </row>
    <row r="350" spans="1:4" x14ac:dyDescent="0.35">
      <c r="A350" s="50" t="s">
        <v>519</v>
      </c>
      <c r="B350" s="50" t="s">
        <v>505</v>
      </c>
      <c r="C350" s="50" t="s">
        <v>519</v>
      </c>
      <c r="D350" s="48">
        <v>1</v>
      </c>
    </row>
    <row r="351" spans="1:4" x14ac:dyDescent="0.35">
      <c r="A351" s="50" t="s">
        <v>520</v>
      </c>
      <c r="B351" s="50" t="s">
        <v>505</v>
      </c>
      <c r="C351" s="50" t="s">
        <v>520</v>
      </c>
      <c r="D351" s="48">
        <v>0</v>
      </c>
    </row>
    <row r="352" spans="1:4" x14ac:dyDescent="0.35">
      <c r="A352" s="50" t="s">
        <v>521</v>
      </c>
      <c r="B352" s="50" t="s">
        <v>505</v>
      </c>
      <c r="C352" s="50" t="s">
        <v>522</v>
      </c>
      <c r="D352" s="48">
        <v>0</v>
      </c>
    </row>
    <row r="353" spans="1:4" x14ac:dyDescent="0.35">
      <c r="A353" s="50" t="s">
        <v>523</v>
      </c>
      <c r="B353" s="50" t="s">
        <v>524</v>
      </c>
      <c r="C353" s="50" t="s">
        <v>525</v>
      </c>
      <c r="D353" s="48">
        <v>38</v>
      </c>
    </row>
    <row r="354" spans="1:4" x14ac:dyDescent="0.35">
      <c r="A354" s="50" t="s">
        <v>526</v>
      </c>
      <c r="B354" s="50" t="s">
        <v>524</v>
      </c>
      <c r="C354" s="50" t="s">
        <v>526</v>
      </c>
      <c r="D354" s="48">
        <v>71</v>
      </c>
    </row>
    <row r="355" spans="1:4" x14ac:dyDescent="0.35">
      <c r="A355" s="50" t="s">
        <v>527</v>
      </c>
      <c r="B355" s="50" t="s">
        <v>524</v>
      </c>
      <c r="C355" s="50" t="s">
        <v>528</v>
      </c>
      <c r="D355" s="48">
        <v>0</v>
      </c>
    </row>
    <row r="356" spans="1:4" x14ac:dyDescent="0.35">
      <c r="A356" s="50" t="s">
        <v>3</v>
      </c>
      <c r="B356" s="50" t="s">
        <v>524</v>
      </c>
      <c r="C356" s="50" t="s">
        <v>436</v>
      </c>
      <c r="D356" s="48">
        <v>125</v>
      </c>
    </row>
    <row r="357" spans="1:4" x14ac:dyDescent="0.35">
      <c r="A357" s="50" t="s">
        <v>3</v>
      </c>
      <c r="B357" s="50" t="s">
        <v>524</v>
      </c>
      <c r="C357" s="50" t="s">
        <v>436</v>
      </c>
      <c r="D357" s="48">
        <v>125</v>
      </c>
    </row>
    <row r="358" spans="1:4" x14ac:dyDescent="0.35">
      <c r="A358" s="50" t="s">
        <v>297</v>
      </c>
      <c r="B358" s="50" t="s">
        <v>524</v>
      </c>
      <c r="C358" s="50" t="s">
        <v>529</v>
      </c>
      <c r="D358" s="48">
        <v>7</v>
      </c>
    </row>
    <row r="359" spans="1:4" x14ac:dyDescent="0.35">
      <c r="A359" s="50" t="s">
        <v>531</v>
      </c>
      <c r="B359" s="50" t="s">
        <v>530</v>
      </c>
      <c r="C359" s="50" t="s">
        <v>532</v>
      </c>
      <c r="D359" s="48">
        <v>0</v>
      </c>
    </row>
    <row r="360" spans="1:4" x14ac:dyDescent="0.35">
      <c r="A360" s="50" t="s">
        <v>531</v>
      </c>
      <c r="B360" s="50" t="s">
        <v>530</v>
      </c>
      <c r="C360" s="50" t="s">
        <v>532</v>
      </c>
      <c r="D360" s="48">
        <v>0</v>
      </c>
    </row>
    <row r="361" spans="1:4" x14ac:dyDescent="0.35">
      <c r="A361" s="50" t="s">
        <v>533</v>
      </c>
      <c r="B361" s="50" t="s">
        <v>530</v>
      </c>
      <c r="C361" s="50" t="s">
        <v>534</v>
      </c>
      <c r="D361" s="48">
        <v>0</v>
      </c>
    </row>
    <row r="362" spans="1:4" x14ac:dyDescent="0.35">
      <c r="A362" s="50" t="s">
        <v>533</v>
      </c>
      <c r="B362" s="50" t="s">
        <v>530</v>
      </c>
      <c r="C362" s="50" t="s">
        <v>534</v>
      </c>
      <c r="D362" s="48">
        <v>0</v>
      </c>
    </row>
    <row r="363" spans="1:4" x14ac:dyDescent="0.35">
      <c r="A363" s="50" t="s">
        <v>535</v>
      </c>
      <c r="B363" s="50" t="s">
        <v>530</v>
      </c>
      <c r="C363" s="50" t="s">
        <v>536</v>
      </c>
      <c r="D363" s="48">
        <v>0</v>
      </c>
    </row>
    <row r="364" spans="1:4" x14ac:dyDescent="0.35">
      <c r="A364" s="50" t="s">
        <v>535</v>
      </c>
      <c r="B364" s="50" t="s">
        <v>530</v>
      </c>
      <c r="C364" s="50" t="s">
        <v>536</v>
      </c>
      <c r="D364" s="48">
        <v>0</v>
      </c>
    </row>
    <row r="365" spans="1:4" x14ac:dyDescent="0.35">
      <c r="A365" s="50" t="s">
        <v>537</v>
      </c>
      <c r="B365" s="50" t="s">
        <v>530</v>
      </c>
      <c r="C365" s="50" t="s">
        <v>538</v>
      </c>
      <c r="D365" s="48">
        <v>0</v>
      </c>
    </row>
    <row r="366" spans="1:4" x14ac:dyDescent="0.35">
      <c r="A366" s="50" t="s">
        <v>537</v>
      </c>
      <c r="B366" s="50" t="s">
        <v>530</v>
      </c>
      <c r="C366" s="50" t="s">
        <v>538</v>
      </c>
      <c r="D366" s="48">
        <v>0</v>
      </c>
    </row>
    <row r="367" spans="1:4" x14ac:dyDescent="0.35">
      <c r="A367" s="50" t="s">
        <v>539</v>
      </c>
      <c r="B367" s="50" t="s">
        <v>530</v>
      </c>
      <c r="C367" s="50" t="s">
        <v>538</v>
      </c>
      <c r="D367" s="48">
        <v>0</v>
      </c>
    </row>
    <row r="368" spans="1:4" x14ac:dyDescent="0.35">
      <c r="A368" s="50" t="s">
        <v>539</v>
      </c>
      <c r="B368" s="50" t="s">
        <v>530</v>
      </c>
      <c r="C368" s="50" t="s">
        <v>538</v>
      </c>
      <c r="D368" s="48">
        <v>0</v>
      </c>
    </row>
    <row r="369" spans="1:4" x14ac:dyDescent="0.35">
      <c r="A369" s="50" t="s">
        <v>540</v>
      </c>
      <c r="B369" s="50" t="s">
        <v>530</v>
      </c>
      <c r="C369" s="50" t="s">
        <v>541</v>
      </c>
      <c r="D369" s="48">
        <v>0</v>
      </c>
    </row>
    <row r="370" spans="1:4" x14ac:dyDescent="0.35">
      <c r="A370" s="50" t="s">
        <v>540</v>
      </c>
      <c r="B370" s="50" t="s">
        <v>530</v>
      </c>
      <c r="C370" s="50" t="s">
        <v>541</v>
      </c>
      <c r="D370" s="48">
        <v>0</v>
      </c>
    </row>
    <row r="371" spans="1:4" x14ac:dyDescent="0.35">
      <c r="A371" s="50" t="s">
        <v>542</v>
      </c>
      <c r="B371" s="50" t="s">
        <v>530</v>
      </c>
      <c r="C371" s="50" t="s">
        <v>543</v>
      </c>
      <c r="D371" s="48">
        <v>2</v>
      </c>
    </row>
    <row r="372" spans="1:4" x14ac:dyDescent="0.35">
      <c r="A372" s="50" t="s">
        <v>542</v>
      </c>
      <c r="B372" s="50" t="s">
        <v>530</v>
      </c>
      <c r="C372" s="50" t="s">
        <v>543</v>
      </c>
      <c r="D372" s="48">
        <v>0</v>
      </c>
    </row>
    <row r="373" spans="1:4" x14ac:dyDescent="0.35">
      <c r="A373" s="50" t="s">
        <v>544</v>
      </c>
      <c r="B373" s="50" t="s">
        <v>530</v>
      </c>
      <c r="C373" s="50" t="s">
        <v>545</v>
      </c>
      <c r="D373" s="48">
        <v>0</v>
      </c>
    </row>
    <row r="374" spans="1:4" x14ac:dyDescent="0.35">
      <c r="A374" s="50" t="s">
        <v>544</v>
      </c>
      <c r="B374" s="50" t="s">
        <v>530</v>
      </c>
      <c r="C374" s="50" t="s">
        <v>545</v>
      </c>
      <c r="D374" s="48">
        <v>0</v>
      </c>
    </row>
    <row r="375" spans="1:4" x14ac:dyDescent="0.35">
      <c r="A375" s="50" t="s">
        <v>546</v>
      </c>
      <c r="B375" s="50" t="s">
        <v>530</v>
      </c>
      <c r="C375" s="50" t="s">
        <v>547</v>
      </c>
      <c r="D375" s="48">
        <v>0</v>
      </c>
    </row>
    <row r="376" spans="1:4" x14ac:dyDescent="0.35">
      <c r="A376" s="50" t="s">
        <v>546</v>
      </c>
      <c r="B376" s="50" t="s">
        <v>530</v>
      </c>
      <c r="C376" s="50" t="s">
        <v>547</v>
      </c>
      <c r="D376" s="48">
        <v>0</v>
      </c>
    </row>
    <row r="377" spans="1:4" x14ac:dyDescent="0.35">
      <c r="A377" s="50" t="s">
        <v>548</v>
      </c>
      <c r="B377" s="50" t="s">
        <v>530</v>
      </c>
      <c r="C377" s="50" t="s">
        <v>549</v>
      </c>
      <c r="D377" s="48">
        <v>0</v>
      </c>
    </row>
    <row r="378" spans="1:4" x14ac:dyDescent="0.35">
      <c r="A378" s="50" t="s">
        <v>550</v>
      </c>
      <c r="B378" s="50" t="s">
        <v>530</v>
      </c>
      <c r="C378" s="50" t="s">
        <v>551</v>
      </c>
      <c r="D378" s="48">
        <v>0</v>
      </c>
    </row>
    <row r="379" spans="1:4" x14ac:dyDescent="0.35">
      <c r="A379" s="50" t="s">
        <v>550</v>
      </c>
      <c r="B379" s="50" t="s">
        <v>530</v>
      </c>
      <c r="C379" s="50" t="s">
        <v>551</v>
      </c>
      <c r="D379" s="48">
        <v>52</v>
      </c>
    </row>
    <row r="380" spans="1:4" x14ac:dyDescent="0.35">
      <c r="A380" s="50" t="s">
        <v>552</v>
      </c>
      <c r="B380" s="50" t="s">
        <v>530</v>
      </c>
      <c r="C380" s="50" t="s">
        <v>553</v>
      </c>
      <c r="D380" s="48">
        <v>0</v>
      </c>
    </row>
    <row r="381" spans="1:4" x14ac:dyDescent="0.35">
      <c r="A381" s="50" t="s">
        <v>552</v>
      </c>
      <c r="B381" s="50" t="s">
        <v>530</v>
      </c>
      <c r="C381" s="50" t="s">
        <v>553</v>
      </c>
      <c r="D381" s="48">
        <v>0</v>
      </c>
    </row>
    <row r="382" spans="1:4" x14ac:dyDescent="0.35">
      <c r="A382" s="50" t="s">
        <v>554</v>
      </c>
      <c r="B382" s="50" t="s">
        <v>530</v>
      </c>
      <c r="C382" s="50" t="s">
        <v>555</v>
      </c>
      <c r="D382" s="48">
        <v>1</v>
      </c>
    </row>
    <row r="383" spans="1:4" x14ac:dyDescent="0.35">
      <c r="A383" s="50" t="s">
        <v>554</v>
      </c>
      <c r="B383" s="50" t="s">
        <v>530</v>
      </c>
      <c r="C383" s="50" t="s">
        <v>555</v>
      </c>
      <c r="D383" s="48">
        <v>0</v>
      </c>
    </row>
    <row r="384" spans="1:4" x14ac:dyDescent="0.35">
      <c r="A384" s="50" t="s">
        <v>556</v>
      </c>
      <c r="B384" s="50" t="s">
        <v>530</v>
      </c>
      <c r="C384" s="50" t="s">
        <v>557</v>
      </c>
      <c r="D384" s="48">
        <v>0</v>
      </c>
    </row>
    <row r="385" spans="1:4" x14ac:dyDescent="0.35">
      <c r="A385" s="50" t="s">
        <v>556</v>
      </c>
      <c r="B385" s="50" t="s">
        <v>530</v>
      </c>
      <c r="C385" s="50" t="s">
        <v>557</v>
      </c>
      <c r="D385" s="48">
        <v>0</v>
      </c>
    </row>
    <row r="386" spans="1:4" x14ac:dyDescent="0.35">
      <c r="A386" s="50" t="s">
        <v>558</v>
      </c>
      <c r="B386" s="50" t="s">
        <v>530</v>
      </c>
      <c r="C386" s="50" t="s">
        <v>559</v>
      </c>
      <c r="D386" s="48">
        <v>0</v>
      </c>
    </row>
    <row r="387" spans="1:4" x14ac:dyDescent="0.35">
      <c r="A387" s="50" t="s">
        <v>558</v>
      </c>
      <c r="B387" s="50" t="s">
        <v>530</v>
      </c>
      <c r="C387" s="50" t="s">
        <v>559</v>
      </c>
      <c r="D387" s="48">
        <v>0</v>
      </c>
    </row>
    <row r="388" spans="1:4" x14ac:dyDescent="0.35">
      <c r="A388" s="50" t="s">
        <v>560</v>
      </c>
      <c r="B388" s="50" t="s">
        <v>530</v>
      </c>
      <c r="C388" s="50" t="s">
        <v>561</v>
      </c>
      <c r="D388" s="48">
        <v>0</v>
      </c>
    </row>
    <row r="389" spans="1:4" x14ac:dyDescent="0.35">
      <c r="A389" s="50" t="s">
        <v>560</v>
      </c>
      <c r="B389" s="50" t="s">
        <v>530</v>
      </c>
      <c r="C389" s="50" t="s">
        <v>561</v>
      </c>
      <c r="D389" s="48">
        <v>0</v>
      </c>
    </row>
    <row r="390" spans="1:4" x14ac:dyDescent="0.35">
      <c r="A390" s="50" t="s">
        <v>562</v>
      </c>
      <c r="B390" s="50" t="s">
        <v>530</v>
      </c>
      <c r="C390" s="50" t="s">
        <v>563</v>
      </c>
      <c r="D390" s="48">
        <v>0</v>
      </c>
    </row>
    <row r="391" spans="1:4" x14ac:dyDescent="0.35">
      <c r="A391" s="50" t="s">
        <v>564</v>
      </c>
      <c r="B391" s="50" t="s">
        <v>530</v>
      </c>
      <c r="C391" s="50" t="s">
        <v>565</v>
      </c>
      <c r="D391" s="48">
        <v>696</v>
      </c>
    </row>
    <row r="392" spans="1:4" x14ac:dyDescent="0.35">
      <c r="A392" s="50" t="s">
        <v>184</v>
      </c>
      <c r="B392" s="50" t="s">
        <v>566</v>
      </c>
      <c r="C392" s="50" t="s">
        <v>567</v>
      </c>
      <c r="D392" s="48">
        <v>4</v>
      </c>
    </row>
    <row r="393" spans="1:4" x14ac:dyDescent="0.35">
      <c r="A393" s="50" t="s">
        <v>185</v>
      </c>
      <c r="B393" s="50" t="s">
        <v>566</v>
      </c>
      <c r="C393" s="50" t="s">
        <v>568</v>
      </c>
      <c r="D393" s="48">
        <v>6</v>
      </c>
    </row>
    <row r="394" spans="1:4" x14ac:dyDescent="0.35">
      <c r="A394" s="50" t="s">
        <v>183</v>
      </c>
      <c r="B394" s="50" t="s">
        <v>566</v>
      </c>
      <c r="C394" s="50" t="s">
        <v>569</v>
      </c>
      <c r="D394" s="48">
        <v>8</v>
      </c>
    </row>
    <row r="395" spans="1:4" x14ac:dyDescent="0.35">
      <c r="A395" s="50" t="s">
        <v>774</v>
      </c>
      <c r="B395" s="50" t="s">
        <v>570</v>
      </c>
      <c r="C395" s="50" t="s">
        <v>42</v>
      </c>
      <c r="D395" s="48">
        <v>4</v>
      </c>
    </row>
    <row r="396" spans="1:4" x14ac:dyDescent="0.35">
      <c r="A396" s="50" t="s">
        <v>775</v>
      </c>
      <c r="B396" s="50" t="s">
        <v>570</v>
      </c>
      <c r="C396" s="50" t="s">
        <v>46</v>
      </c>
      <c r="D396" s="48">
        <v>26</v>
      </c>
    </row>
    <row r="397" spans="1:4" x14ac:dyDescent="0.35">
      <c r="A397" s="50" t="s">
        <v>776</v>
      </c>
      <c r="B397" s="50" t="s">
        <v>570</v>
      </c>
      <c r="C397" s="50" t="s">
        <v>47</v>
      </c>
      <c r="D397" s="48">
        <v>14</v>
      </c>
    </row>
    <row r="398" spans="1:4" x14ac:dyDescent="0.35">
      <c r="A398" s="50" t="s">
        <v>41</v>
      </c>
      <c r="B398" s="50" t="s">
        <v>571</v>
      </c>
      <c r="C398" s="50" t="s">
        <v>572</v>
      </c>
      <c r="D398" s="48">
        <v>3</v>
      </c>
    </row>
    <row r="399" spans="1:4" x14ac:dyDescent="0.35">
      <c r="A399" s="50" t="s">
        <v>44</v>
      </c>
      <c r="B399" s="50" t="s">
        <v>571</v>
      </c>
      <c r="C399" s="50" t="s">
        <v>398</v>
      </c>
      <c r="D399" s="48">
        <v>4</v>
      </c>
    </row>
    <row r="400" spans="1:4" x14ac:dyDescent="0.35">
      <c r="A400" s="50" t="s">
        <v>45</v>
      </c>
      <c r="B400" s="50" t="s">
        <v>571</v>
      </c>
      <c r="C400" s="50" t="s">
        <v>573</v>
      </c>
      <c r="D400" s="48">
        <v>15</v>
      </c>
    </row>
    <row r="401" spans="1:4" x14ac:dyDescent="0.35">
      <c r="A401" s="50" t="s">
        <v>43</v>
      </c>
      <c r="B401" s="50" t="s">
        <v>571</v>
      </c>
      <c r="C401" s="50" t="s">
        <v>574</v>
      </c>
      <c r="D401" s="48">
        <v>3</v>
      </c>
    </row>
    <row r="402" spans="1:4" x14ac:dyDescent="0.35">
      <c r="A402" s="50" t="s">
        <v>575</v>
      </c>
      <c r="B402" s="50" t="s">
        <v>576</v>
      </c>
      <c r="C402" s="50" t="s">
        <v>577</v>
      </c>
      <c r="D402" s="48">
        <v>5</v>
      </c>
    </row>
    <row r="403" spans="1:4" x14ac:dyDescent="0.35">
      <c r="A403" s="50" t="s">
        <v>373</v>
      </c>
      <c r="B403" s="50" t="s">
        <v>576</v>
      </c>
      <c r="C403" s="50" t="s">
        <v>374</v>
      </c>
      <c r="D403" s="48">
        <v>27</v>
      </c>
    </row>
    <row r="404" spans="1:4" x14ac:dyDescent="0.35">
      <c r="A404" s="50" t="s">
        <v>578</v>
      </c>
      <c r="B404" s="50" t="s">
        <v>576</v>
      </c>
      <c r="C404" s="50" t="s">
        <v>579</v>
      </c>
      <c r="D404" s="48">
        <v>0</v>
      </c>
    </row>
    <row r="405" spans="1:4" x14ac:dyDescent="0.35">
      <c r="A405" s="50" t="s">
        <v>370</v>
      </c>
      <c r="B405" s="50" t="s">
        <v>576</v>
      </c>
      <c r="C405" s="50" t="s">
        <v>371</v>
      </c>
      <c r="D405" s="48">
        <v>28</v>
      </c>
    </row>
    <row r="406" spans="1:4" x14ac:dyDescent="0.35">
      <c r="A406" s="50" t="s">
        <v>303</v>
      </c>
      <c r="B406" s="50" t="s">
        <v>576</v>
      </c>
      <c r="C406" s="50" t="s">
        <v>304</v>
      </c>
      <c r="D406" s="48">
        <v>144</v>
      </c>
    </row>
    <row r="407" spans="1:4" x14ac:dyDescent="0.35">
      <c r="A407" s="50" t="s">
        <v>305</v>
      </c>
      <c r="B407" s="50" t="s">
        <v>576</v>
      </c>
      <c r="C407" s="50" t="s">
        <v>306</v>
      </c>
      <c r="D407" s="48">
        <v>61</v>
      </c>
    </row>
  </sheetData>
  <sortState xmlns:xlrd2="http://schemas.microsoft.com/office/spreadsheetml/2017/richdata2" ref="AA2:AA405">
    <sortCondition ref="AA1"/>
  </sortState>
  <phoneticPr fontId="18" type="noConversion"/>
  <hyperlinks>
    <hyperlink ref="AG2" r:id="rId1" xr:uid="{A493D711-1ECB-4568-868C-EF0428C0C61E}"/>
  </hyperlinks>
  <pageMargins left="0.7" right="0.7" top="0.75" bottom="0.75" header="0.3" footer="0.3"/>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81E49-B5D6-471D-88F6-11CC48D9AAAC}">
  <sheetPr codeName="Sheet12"/>
  <dimension ref="A1:P23"/>
  <sheetViews>
    <sheetView workbookViewId="0">
      <selection activeCell="E27" sqref="E27"/>
    </sheetView>
  </sheetViews>
  <sheetFormatPr defaultRowHeight="17.25" x14ac:dyDescent="0.35"/>
  <cols>
    <col min="2" max="2" width="13.875" customWidth="1"/>
    <col min="3" max="3" width="12" customWidth="1"/>
    <col min="4" max="4" width="7.5" customWidth="1"/>
    <col min="6" max="6" width="14.375" customWidth="1"/>
  </cols>
  <sheetData>
    <row r="1" spans="1:16" x14ac:dyDescent="0.35">
      <c r="A1" s="74" t="s">
        <v>618</v>
      </c>
      <c r="B1" s="74"/>
      <c r="C1" s="74"/>
      <c r="D1" s="74"/>
      <c r="E1" s="74"/>
      <c r="F1" s="74"/>
      <c r="G1" s="74"/>
      <c r="H1" s="74"/>
      <c r="I1" s="74"/>
      <c r="J1" s="74"/>
      <c r="K1" s="74"/>
      <c r="L1" s="74"/>
      <c r="M1" s="74"/>
      <c r="N1" s="74"/>
      <c r="O1" s="74"/>
      <c r="P1" s="74"/>
    </row>
    <row r="2" spans="1:16" x14ac:dyDescent="0.35">
      <c r="A2" s="74"/>
      <c r="B2" s="74"/>
      <c r="C2" s="74"/>
      <c r="D2" s="74"/>
      <c r="E2" s="74"/>
      <c r="F2" s="74"/>
      <c r="G2" s="74"/>
      <c r="H2" s="74"/>
      <c r="I2" s="74"/>
      <c r="J2" s="74"/>
      <c r="K2" s="74"/>
      <c r="L2" s="74"/>
      <c r="M2" s="74"/>
      <c r="N2" s="74"/>
      <c r="O2" s="74"/>
      <c r="P2" s="74"/>
    </row>
    <row r="3" spans="1:16" x14ac:dyDescent="0.35">
      <c r="A3" s="74" t="s">
        <v>422</v>
      </c>
      <c r="B3" s="75" t="s">
        <v>619</v>
      </c>
      <c r="C3" s="74"/>
      <c r="D3" s="74"/>
      <c r="E3" s="74"/>
      <c r="F3" s="74"/>
      <c r="G3" s="74" t="s">
        <v>620</v>
      </c>
      <c r="H3" s="74"/>
      <c r="I3" s="74"/>
      <c r="J3" s="74"/>
      <c r="K3" s="74"/>
      <c r="L3" s="74"/>
      <c r="M3" s="74"/>
      <c r="N3" s="74"/>
      <c r="O3" s="74"/>
      <c r="P3" s="74"/>
    </row>
    <row r="4" spans="1:16" x14ac:dyDescent="0.35">
      <c r="A4" s="74" t="s">
        <v>314</v>
      </c>
      <c r="B4" s="75" t="s">
        <v>615</v>
      </c>
      <c r="C4" s="74"/>
      <c r="D4" s="74"/>
      <c r="E4" s="74"/>
      <c r="F4" s="74"/>
      <c r="G4" s="74" t="s">
        <v>622</v>
      </c>
      <c r="H4" s="74"/>
      <c r="I4" s="74"/>
      <c r="J4" s="74"/>
      <c r="K4" s="74"/>
      <c r="L4" s="74"/>
      <c r="M4" s="74"/>
      <c r="N4" s="74"/>
      <c r="O4" s="74"/>
      <c r="P4" s="74"/>
    </row>
    <row r="5" spans="1:16" x14ac:dyDescent="0.35">
      <c r="A5" s="74" t="s">
        <v>3</v>
      </c>
      <c r="B5" s="75" t="s">
        <v>621</v>
      </c>
      <c r="C5" s="74"/>
      <c r="D5" s="74"/>
      <c r="E5" s="74"/>
      <c r="F5" s="74"/>
      <c r="G5" s="74" t="s">
        <v>623</v>
      </c>
      <c r="H5" s="74"/>
      <c r="I5" s="74"/>
      <c r="J5" s="74"/>
      <c r="K5" s="74"/>
      <c r="L5" s="74"/>
      <c r="M5" s="74"/>
      <c r="N5" s="74"/>
      <c r="O5" s="74"/>
      <c r="P5" s="74"/>
    </row>
    <row r="6" spans="1:16" x14ac:dyDescent="0.35">
      <c r="A6" s="74" t="s">
        <v>305</v>
      </c>
      <c r="B6" s="75" t="s">
        <v>624</v>
      </c>
      <c r="C6" s="74"/>
      <c r="D6" s="74"/>
      <c r="E6" s="74"/>
      <c r="F6" s="74"/>
      <c r="G6" s="74" t="s">
        <v>625</v>
      </c>
      <c r="H6" s="74"/>
      <c r="I6" s="74"/>
      <c r="J6" s="74"/>
      <c r="K6" s="74"/>
      <c r="L6" s="74"/>
      <c r="M6" s="74"/>
      <c r="N6" s="74"/>
      <c r="O6" s="74"/>
      <c r="P6" s="74"/>
    </row>
    <row r="7" spans="1:16" x14ac:dyDescent="0.35">
      <c r="A7" s="74"/>
      <c r="B7" s="74"/>
      <c r="C7" s="74"/>
      <c r="D7" s="74"/>
      <c r="E7" s="74"/>
      <c r="F7" s="74"/>
      <c r="G7" s="74"/>
      <c r="H7" s="74"/>
      <c r="I7" s="74"/>
      <c r="J7" s="74"/>
      <c r="K7" s="74"/>
      <c r="L7" s="74"/>
      <c r="M7" s="74"/>
      <c r="N7" s="74"/>
      <c r="O7" s="74"/>
      <c r="P7" s="74"/>
    </row>
    <row r="8" spans="1:16" x14ac:dyDescent="0.35">
      <c r="A8" s="74"/>
      <c r="B8" s="74" t="s">
        <v>637</v>
      </c>
      <c r="C8" s="74" t="s">
        <v>640</v>
      </c>
      <c r="D8" s="74" t="s">
        <v>642</v>
      </c>
      <c r="E8" s="74" t="s">
        <v>643</v>
      </c>
      <c r="F8" s="74" t="s">
        <v>647</v>
      </c>
      <c r="G8" s="74" t="s">
        <v>648</v>
      </c>
      <c r="H8" s="74" t="s">
        <v>652</v>
      </c>
      <c r="I8" s="74" t="s">
        <v>651</v>
      </c>
      <c r="J8" s="74" t="s">
        <v>655</v>
      </c>
      <c r="K8" s="74" t="s">
        <v>641</v>
      </c>
      <c r="L8" s="74"/>
      <c r="M8" s="74"/>
      <c r="N8" s="74"/>
      <c r="O8" s="74"/>
      <c r="P8" s="74"/>
    </row>
    <row r="9" spans="1:16" x14ac:dyDescent="0.35">
      <c r="A9" s="74" t="s">
        <v>645</v>
      </c>
      <c r="B9" s="74" t="s">
        <v>638</v>
      </c>
      <c r="C9" s="74"/>
      <c r="D9" s="74" t="s">
        <v>644</v>
      </c>
      <c r="E9" s="74" t="s">
        <v>644</v>
      </c>
      <c r="F9" s="74" t="s">
        <v>644</v>
      </c>
      <c r="G9" s="74" t="s">
        <v>649</v>
      </c>
      <c r="H9" s="74" t="s">
        <v>653</v>
      </c>
      <c r="I9" s="74"/>
      <c r="J9" s="74" t="s">
        <v>656</v>
      </c>
      <c r="K9" s="74"/>
      <c r="L9" s="74"/>
      <c r="M9" s="74"/>
      <c r="N9" s="74"/>
      <c r="O9" s="74"/>
      <c r="P9" s="74"/>
    </row>
    <row r="10" spans="1:16" x14ac:dyDescent="0.35">
      <c r="A10" s="74" t="s">
        <v>646</v>
      </c>
      <c r="B10" s="74" t="s">
        <v>639</v>
      </c>
      <c r="C10" s="74" t="s">
        <v>639</v>
      </c>
      <c r="D10" s="74" t="s">
        <v>639</v>
      </c>
      <c r="E10" s="74" t="s">
        <v>422</v>
      </c>
      <c r="F10" s="74" t="s">
        <v>422</v>
      </c>
      <c r="G10" s="74" t="s">
        <v>650</v>
      </c>
      <c r="H10" s="74"/>
      <c r="I10" s="74" t="s">
        <v>654</v>
      </c>
      <c r="J10" s="74" t="s">
        <v>654</v>
      </c>
      <c r="K10" s="74" t="s">
        <v>639</v>
      </c>
      <c r="L10" s="74"/>
      <c r="M10" s="74"/>
      <c r="N10" s="74"/>
      <c r="O10" s="74"/>
      <c r="P10" s="74"/>
    </row>
    <row r="11" spans="1:16" x14ac:dyDescent="0.35">
      <c r="A11" s="74" t="s">
        <v>657</v>
      </c>
      <c r="B11" s="74" t="s">
        <v>3</v>
      </c>
      <c r="C11" s="74" t="s">
        <v>3</v>
      </c>
      <c r="D11" s="74" t="s">
        <v>3</v>
      </c>
      <c r="E11" s="74" t="s">
        <v>3</v>
      </c>
      <c r="F11" s="74" t="s">
        <v>3</v>
      </c>
      <c r="G11" s="74" t="s">
        <v>3</v>
      </c>
      <c r="H11" s="74"/>
      <c r="I11" s="74"/>
      <c r="J11" s="74" t="s">
        <v>658</v>
      </c>
      <c r="K11" s="74"/>
      <c r="L11" s="74"/>
      <c r="M11" s="74"/>
      <c r="N11" s="74"/>
      <c r="O11" s="74"/>
      <c r="P11" s="74"/>
    </row>
    <row r="12" spans="1:16" x14ac:dyDescent="0.35">
      <c r="A12" s="74"/>
      <c r="B12" s="74"/>
      <c r="C12" s="74"/>
      <c r="D12" s="74"/>
      <c r="E12" s="74"/>
      <c r="F12" s="74"/>
      <c r="G12" s="74"/>
      <c r="H12" s="74"/>
      <c r="I12" s="74"/>
      <c r="J12" s="74"/>
      <c r="K12" s="74"/>
      <c r="L12" s="74"/>
      <c r="M12" s="74"/>
      <c r="N12" s="74"/>
      <c r="O12" s="74"/>
      <c r="P12" s="74"/>
    </row>
    <row r="13" spans="1:16" x14ac:dyDescent="0.35">
      <c r="A13" s="74"/>
      <c r="B13" s="74"/>
      <c r="C13" s="74"/>
      <c r="D13" s="74"/>
      <c r="E13" s="74"/>
      <c r="F13" s="74"/>
      <c r="G13" s="74"/>
      <c r="H13" s="74"/>
      <c r="I13" s="74"/>
      <c r="J13" s="74"/>
      <c r="K13" s="74"/>
      <c r="L13" s="74"/>
      <c r="M13" s="74"/>
      <c r="N13" s="74"/>
      <c r="O13" s="74"/>
      <c r="P13" s="74"/>
    </row>
    <row r="14" spans="1:16" x14ac:dyDescent="0.35">
      <c r="A14" s="74"/>
      <c r="B14" s="74"/>
      <c r="C14" s="74"/>
      <c r="D14" s="74"/>
      <c r="E14" s="74"/>
      <c r="F14" s="74"/>
      <c r="G14" s="74"/>
      <c r="H14" s="74"/>
      <c r="I14" s="74"/>
      <c r="J14" s="74"/>
      <c r="K14" s="74"/>
      <c r="L14" s="74"/>
      <c r="M14" s="74"/>
      <c r="N14" s="74"/>
      <c r="O14" s="74"/>
      <c r="P14" s="74"/>
    </row>
    <row r="15" spans="1:16" x14ac:dyDescent="0.35">
      <c r="A15" s="74"/>
      <c r="B15" s="74"/>
      <c r="C15" s="74"/>
      <c r="D15" s="74"/>
      <c r="E15" s="74"/>
      <c r="F15" s="74"/>
      <c r="G15" s="74"/>
      <c r="H15" s="74"/>
      <c r="I15" s="74"/>
      <c r="J15" s="74"/>
      <c r="K15" s="74"/>
      <c r="L15" s="74"/>
      <c r="M15" s="74"/>
      <c r="N15" s="74"/>
      <c r="O15" s="74"/>
      <c r="P15" s="74"/>
    </row>
    <row r="16" spans="1:16" x14ac:dyDescent="0.35">
      <c r="A16" s="74"/>
      <c r="B16" s="74"/>
      <c r="C16" s="74"/>
      <c r="D16" s="74"/>
      <c r="E16" s="74"/>
      <c r="F16" s="74"/>
      <c r="G16" s="74"/>
      <c r="H16" s="74"/>
      <c r="I16" s="74"/>
      <c r="J16" s="74"/>
      <c r="K16" s="74"/>
      <c r="L16" s="74"/>
      <c r="M16" s="74"/>
      <c r="N16" s="74"/>
      <c r="O16" s="74"/>
      <c r="P16" s="74"/>
    </row>
    <row r="17" spans="1:16" x14ac:dyDescent="0.35">
      <c r="A17" s="74"/>
      <c r="B17" s="74"/>
      <c r="C17" s="74"/>
      <c r="D17" s="74"/>
      <c r="E17" s="74"/>
      <c r="F17" s="74"/>
      <c r="G17" s="74"/>
      <c r="H17" s="74"/>
      <c r="I17" s="74"/>
      <c r="J17" s="74"/>
      <c r="K17" s="74"/>
      <c r="L17" s="74"/>
      <c r="M17" s="74"/>
      <c r="N17" s="74"/>
      <c r="O17" s="74"/>
      <c r="P17" s="74"/>
    </row>
    <row r="18" spans="1:16" x14ac:dyDescent="0.35">
      <c r="A18" s="74"/>
      <c r="B18" s="74"/>
      <c r="C18" s="74"/>
      <c r="D18" s="74"/>
      <c r="E18" s="74"/>
      <c r="F18" s="74"/>
      <c r="G18" s="74"/>
      <c r="H18" s="74"/>
      <c r="I18" s="74"/>
      <c r="J18" s="74"/>
      <c r="K18" s="74"/>
      <c r="L18" s="74"/>
      <c r="M18" s="74"/>
      <c r="N18" s="74"/>
      <c r="O18" s="74"/>
      <c r="P18" s="74"/>
    </row>
    <row r="19" spans="1:16" x14ac:dyDescent="0.35">
      <c r="A19" s="73"/>
      <c r="B19" s="73"/>
      <c r="C19" s="73"/>
      <c r="D19" s="73"/>
      <c r="E19" s="73"/>
      <c r="F19" s="73"/>
      <c r="G19" s="73"/>
      <c r="H19" s="73"/>
      <c r="I19" s="73"/>
      <c r="J19" s="73"/>
      <c r="K19" s="73"/>
      <c r="L19" s="73"/>
      <c r="M19" s="73"/>
      <c r="N19" s="73"/>
      <c r="O19" s="73"/>
      <c r="P19" s="73"/>
    </row>
    <row r="20" spans="1:16" x14ac:dyDescent="0.35">
      <c r="A20" s="73"/>
      <c r="B20" s="73"/>
      <c r="C20" s="73"/>
      <c r="D20" s="73"/>
      <c r="E20" s="73"/>
      <c r="F20" s="73"/>
      <c r="G20" s="73"/>
      <c r="H20" s="73"/>
      <c r="I20" s="73"/>
      <c r="J20" s="73"/>
      <c r="K20" s="73"/>
      <c r="L20" s="73"/>
      <c r="M20" s="73"/>
      <c r="N20" s="73"/>
      <c r="O20" s="73"/>
      <c r="P20" s="73"/>
    </row>
    <row r="21" spans="1:16" x14ac:dyDescent="0.35">
      <c r="A21" s="73"/>
      <c r="B21" s="73"/>
      <c r="C21" s="73"/>
      <c r="D21" s="73"/>
      <c r="E21" s="73"/>
      <c r="F21" s="73"/>
      <c r="G21" s="73"/>
      <c r="H21" s="73"/>
      <c r="I21" s="73"/>
      <c r="J21" s="73"/>
      <c r="K21" s="73"/>
      <c r="L21" s="73"/>
      <c r="M21" s="73"/>
      <c r="N21" s="73"/>
      <c r="O21" s="73"/>
      <c r="P21" s="73"/>
    </row>
    <row r="22" spans="1:16" x14ac:dyDescent="0.35">
      <c r="A22" s="73"/>
      <c r="B22" s="73"/>
      <c r="C22" s="73"/>
      <c r="D22" s="73"/>
      <c r="E22" s="73"/>
      <c r="F22" s="73"/>
      <c r="G22" s="73"/>
      <c r="H22" s="73"/>
      <c r="I22" s="73"/>
      <c r="J22" s="73"/>
      <c r="K22" s="73"/>
      <c r="L22" s="73"/>
      <c r="M22" s="73"/>
      <c r="N22" s="73"/>
      <c r="O22" s="73"/>
      <c r="P22" s="73"/>
    </row>
    <row r="23" spans="1:16" x14ac:dyDescent="0.35">
      <c r="A23" s="73"/>
      <c r="B23" s="73"/>
      <c r="C23" s="73"/>
      <c r="D23" s="73"/>
      <c r="E23" s="73"/>
      <c r="F23" s="73"/>
      <c r="G23" s="73"/>
      <c r="H23" s="73"/>
      <c r="I23" s="73"/>
      <c r="J23" s="73"/>
      <c r="K23" s="73"/>
      <c r="L23" s="73"/>
      <c r="M23" s="73"/>
      <c r="N23" s="73"/>
      <c r="O23" s="73"/>
      <c r="P23" s="73"/>
    </row>
  </sheetData>
  <sheetProtection algorithmName="SHA-512" hashValue="260KaauZ5aHJP48evaEkyY/k4vWNsco57dQVLZ438BIn8H53i2PCAcx/Z268gjxRJeBi1BHGnVk82e+A0TCizA==" saltValue="nq9i1DIX6PxvFAoOdzKZBg==" spinCount="100000" sheet="1" objects="1" scenarios="1"/>
  <conditionalFormatting sqref="B14">
    <cfRule type="expression" dxfId="0" priority="1">
      <formula>IF(B14:Z28&lt;&gt;"",+MOD(ROW(),2)-0)</formula>
    </cfRule>
  </conditionalFormatting>
  <hyperlinks>
    <hyperlink ref="B5" r:id="rId1" xr:uid="{955FC9A1-B1D2-4CED-B3B6-ADB9548CE023}"/>
    <hyperlink ref="B4" r:id="rId2" xr:uid="{4217DF18-6E00-40FE-8D12-B8195520A150}"/>
    <hyperlink ref="B6" r:id="rId3" xr:uid="{2EF0B7AB-F503-4E11-9C6F-DECAF7D7673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5 9 5 3 4 a 9 - d b c 8 - 4 1 c 9 - b e 0 8 - d 3 2 8 4 0 7 0 2 7 2 f "   x m l n s = " h t t p : / / s c h e m a s . m i c r o s o f t . c o m / D a t a M a s h u p " > A A A A A L 8 E A A B Q S w M E F A A C A A g A M W n v U I 5 Q w Q 6 p A A A A + A A A A B I A H A B D b 2 5 m a W c v U G F j a 2 F n Z S 5 4 b W w g o h g A K K A U A A A A A A A A A A A A A A A A A A A A A A A A A A A A h Y / R C o I w G I V f R X b v N i e V y O + E u u g m I Q i i 2 7 G W j n S G m 8 1 3 6 6 J H 6 h U S y u q u y 3 P 4 D n z n c b t D P j R 1 c F W d 1 a 3 J U I Q p C p S R 7 V G b M k O 9 O 4 U J y j l s h T y L U g U j b G w 6 W J 2 h y r l L S o j 3 H v s Y t 1 1 J G K U R O R S b n a x U I 0 J t r B N G K v R Z H f + v E I f 9 S 4 Y z n E R 4 l s Q R X s w Z k K m G Q p s v w k Z j T I H 8 l L D q a 9 d 3 i i s T r p d A p g j k / Y I / A V B L A w Q U A A I A C A A x a e 9 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W n v U A S G / G + 0 A Q A A C Q M A A B M A H A B G b 3 J t d W x h c y 9 T Z W N 0 a W 9 u M S 5 t I K I Y A C i g F A A A A A A A A A A A A A A A A A A A A A A A A A A A A H V S U W v b M B B + N + Q / C O / F B k W m p e v D i g f B L W w w S o c D f T A h y P I l E Z E l c 5 K d B p P / P j n 2 k o 5 2 e t H p 7 r 7 v v k + S B e G k 0 S Q f 9 5 u H W T A L 7 I 4 j V G Q j l Q N c v 3 D k N f i I p E S B I 5 d z G j V o q l Y 4 S 5 u / O c V L U D F J v w e B 7 w 2 I X 7 l p U Y A H P 7 0 J U C x r E U G 7 V 4 P 7 0 p h 9 F P f F s 8 e m S 1 4 q G K L V q c i M d r 5 n R c 8 E H V f t g B + J + u I q 4 B L 9 G s Z 6 4 L l 1 F U h 9 B Q b + R C 7 6 3 v t b l F J J d 7 T O i P 0 G o L K j w d m / q j P b s U c j 2 t o L i l 6 h Z J M 4 G 4 U 7 5 5 p v S X I 4 H J j l T b O T C H M l S + R 4 Z M K w d p / I m m / B J l Y g g J 7 z q p M W c H 6 Z m H y Q w I T t w p g W j 6 B k L Q e P I Q 0 p y Y x q a 2 3 T O 0 q e t D C V 1 N v 0 5 v b r L S W / W + M g d 0 c F 6 T V k z 0 b D K q a j l S / h C 5 r a 1 y r y A 3 g F a E P v 6 3 z f b K p M + W h 0 T U k x 5 R d K 5 Y I r j j Z 1 2 L 6 n z H Z c b z 3 j 8 t j A l W 6 J X N u N w X o U P B R t 9 M l 8 2 v e h f x O n j T f n f B d x 8 O Z O l P Q h E d z B 1 u B x r f 2 T f S x P f + 4 / 1 X y 4 y f W i 4 1 I N g n z D T + 3 u 7 9 i g 5 H S K Z / 4 z f O r g 4 Q 9 Q S w E C L Q A U A A I A C A A x a e 9 Q j l D B D q k A A A D 4 A A A A E g A A A A A A A A A A A A A A A A A A A A A A Q 2 9 u Z m l n L 1 B h Y 2 t h Z 2 U u e G 1 s U E s B A i 0 A F A A C A A g A M W n v U A / K 6 a u k A A A A 6 Q A A A B M A A A A A A A A A A A A A A A A A 9 Q A A A F t D b 2 5 0 Z W 5 0 X 1 R 5 c G V z X S 5 4 b W x Q S w E C L Q A U A A I A C A A x a e 9 Q B I b 8 b 7 Q B A A A J A w A A E w A A A A A A A A A A A A A A A A D m A Q A A R m 9 y b X V s Y X M v U 2 V j d G l v b j E u b V B L B Q Y A A A A A A w A D A M I A A A D n 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Y D w A A A A A A A H Y P 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m a W x 0 Z X J f U G F y Y W 1 l d G V y 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M y I g L z 4 8 R W 5 0 c n k g V H l w Z T 0 i U m V j b 3 Z l c n l U Y X J n Z X R D b 2 x 1 b W 4 i I F Z h b H V l P S J s M S I g L z 4 8 R W 5 0 c n k g V H l w Z T 0 i U m V j b 3 Z l c n l U Y X J n Z X R S b 3 c i I F Z h b H V l P S J s M S I g L z 4 8 R W 5 0 c n k g V H l w Z T 0 i Q W R k Z W R U b 0 R h d G F N b 2 R l b C I g V m F s d W U 9 I m w w I i A v P j x F b n R y e S B U e X B l P S J G a W x s Q 2 9 1 b n Q i I F Z h b H V l P S J s M C I g L z 4 8 R W 5 0 c n k g V H l w Z T 0 i R m l s b E V y c m 9 y Q 2 9 k Z S I g V m F s d W U 9 I n N V b m t u b 3 d u I i A v P j x F b n R y e S B U e X B l P S J G a W x s R X J y b 3 J D b 3 V u d C I g V m F s d W U 9 I m w w I i A v P j x F b n R y e S B U e X B l P S J G a W x s T G F z d F V w Z G F 0 Z W Q i I F Z h b H V l P S J k M j A y M C 0 w M y 0 x M l Q x M j o x N z o y N i 4 z N D E 3 N T Y y W i I g L z 4 8 R W 5 0 c n k g V H l w Z T 0 i R m l s b F N 0 Y X R 1 c y I g V m F s d W U 9 I n N X Y W l 0 a W 5 n R m 9 y R X h j Z W x S Z W Z y Z X N o I i A v P j w v U 3 R h Y m x l R W 5 0 c m l l c z 4 8 L 0 l 0 Z W 0 + P E l 0 Z W 0 + P E l 0 Z W 1 M b 2 N h d G l v b j 4 8 S X R l b V R 5 c G U + R m 9 y b X V s Y T w v S X R l b V R 5 c G U + P E l 0 Z W 1 Q Y X R o P l N l Y 3 R p b 2 4 x L 0 F i a W x p d H l z d G 9 j a 2 Z l Z W R 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Q W J p b G l 0 e X N 0 b 2 N r Z m V l Z H M i I C 8 + P E V u d H J 5 I F R 5 c G U 9 I k Z p b G x l Z E N v b X B s Z X R l U m V z d W x 0 V G 9 X b 3 J r c 2 h l Z X Q i I F Z h b H V l P S J s M S I g L z 4 8 R W 5 0 c n k g V H l w Z T 0 i U m V j b 3 Z l c n l U Y X J n Z X R T a G V l d C I g V m F s d W U 9 I n N T d G 9 j a y 1 p b X B v c n Q i I C 8 + P E V u d H J 5 I F R 5 c G U 9 I l J l Y 2 9 2 Z X J 5 V G F y Z 2 V 0 Q 2 9 s d W 1 u I i B W Y W x 1 Z T 0 i b D E i I C 8 + P E V u d H J 5 I F R 5 c G U 9 I l J l Y 2 9 2 Z X J 5 V G F y Z 2 V 0 U m 9 3 I i B W Y W x 1 Z T 0 i b D E i I C 8 + P E V u d H J 5 I F R 5 c G U 9 I l F 1 Z X J 5 S U Q i I F Z h b H V l P S J z Y T V k O T F m N j M t N W Z m Y i 0 0 N W Q x L W E z Z D E t M G I 2 N G J j M D c 0 N j Z j I i A v P j x F b n R y e S B U e X B l P S J G a W x s R X J y b 3 J D b 3 V u d C I g V m F s d W U 9 I m w w I i A v P j x F b n R y e S B U e X B l P S J G a W x s T G F z d F V w Z G F 0 Z W Q i I F Z h b H V l P S J k M j A y M C 0 w N y 0 x N V Q x M j o w O T o z N C 4 3 N T k 5 M j k 1 W i I g L z 4 8 R W 5 0 c n k g V H l w Z T 0 i R m l s b E V y c m 9 y Q 2 9 k Z S I g V m F s d W U 9 I n N V b m t u b 3 d u I i A v P j x F b n R y e S B U e X B l P S J G a W x s Q 2 9 s d W 1 u V H l w Z X M i I F Z h b H V l P S J z Q m d Z R 0 F 3 P T 0 i I C 8 + P E V u d H J 5 I F R 5 c G U 9 I k Z p b G x D b 3 V u d C I g V m F s d W U 9 I m w 0 M D Y i I C 8 + P E V u d H J 5 I F R 5 c G U 9 I k Z p b G x D b 2 x 1 b W 5 O Y W 1 l c y I g V m F s d W U 9 I n N b J n F 1 b 3 Q 7 c G F y d G 5 v J n F 1 b 3 Q 7 L C Z x d W 9 0 O y B j Y X R l Z 2 9 y e V 9 u Y W 1 l J n F 1 b 3 Q 7 L C Z x d W 9 0 O y B w c m 9 k d W N 0 X 2 5 h b W U m c X V v d D s s J n F 1 b 3 Q 7 I F N 0 b 2 N r X 0 F 2 Y W l s Y W J s Z S Z x d W 9 0 O 1 0 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Q W J p b G l 0 e X N 0 b 2 N r Z m V l Z H M v Q 2 h h b m d l Z C B U e X B l L n t w Y X J 0 b m 8 s M H 0 m c X V v d D s s J n F 1 b 3 Q 7 U 2 V j d G l v b j E v Q W J p b G l 0 e X N 0 b 2 N r Z m V l Z H M v Q 2 h h b m d l Z C B U e X B l L n s g Y 2 F 0 Z W d v c n l f b m F t Z S w x f S Z x d W 9 0 O y w m c X V v d D t T Z W N 0 a W 9 u M S 9 B Y m l s a X R 5 c 3 R v Y 2 t m Z W V k c y 9 D a G F u Z 2 V k I F R 5 c G U u e y B w c m 9 k d W N 0 X 2 5 h b W U s M n 0 m c X V v d D s s J n F 1 b 3 Q 7 U 2 V j d G l v b j E v Q W J p b G l 0 e X N 0 b 2 N r Z m V l Z H M v Q 2 h h b m d l Z C B U e X B l L n s g U 3 R v Y 2 t f Q X Z h a W x h Y m x l L D N 9 J n F 1 b 3 Q 7 X S w m c X V v d D t D b 2 x 1 b W 5 D b 3 V u d C Z x d W 9 0 O z o 0 L C Z x d W 9 0 O 0 t l e U N v b H V t b k 5 h b W V z J n F 1 b 3 Q 7 O l t d L C Z x d W 9 0 O 0 N v b H V t b k l k Z W 5 0 a X R p Z X M m c X V v d D s 6 W y Z x d W 9 0 O 1 N l Y 3 R p b 2 4 x L 0 F i a W x p d H l z d G 9 j a 2 Z l Z W R z L 0 N o Y W 5 n Z W Q g V H l w Z S 5 7 c G F y d G 5 v L D B 9 J n F 1 b 3 Q 7 L C Z x d W 9 0 O 1 N l Y 3 R p b 2 4 x L 0 F i a W x p d H l z d G 9 j a 2 Z l Z W R z L 0 N o Y W 5 n Z W Q g V H l w Z S 5 7 I G N h d G V n b 3 J 5 X 2 5 h b W U s M X 0 m c X V v d D s s J n F 1 b 3 Q 7 U 2 V j d G l v b j E v Q W J p b G l 0 e X N 0 b 2 N r Z m V l Z H M v Q 2 h h b m d l Z C B U e X B l L n s g c H J v Z H V j d F 9 u Y W 1 l L D J 9 J n F 1 b 3 Q 7 L C Z x d W 9 0 O 1 N l Y 3 R p b 2 4 x L 0 F i a W x p d H l z d G 9 j a 2 Z l Z W R z L 0 N o Y W 5 n Z W Q g V H l w Z S 5 7 I F N 0 b 2 N r X 0 F 2 Y W l s Y W J s Z S w z f S Z x d W 9 0 O 1 0 s J n F 1 b 3 Q 7 U m V s Y X R p b 2 5 z a G l w S W 5 m b y Z x d W 9 0 O z p b X X 0 i I C 8 + P C 9 T d G F i b G V F b n R y a W V z P j w v S X R l b T 4 8 S X R l b T 4 8 S X R l b U x v Y 2 F 0 a W 9 u P j x J d G V t V H l w Z T 5 G b 3 J t d W x h P C 9 J d G V t V H l w Z T 4 8 S X R l b V B h d G g + U 2 V j d G l v b j E v Q W J p b G l 0 e X N 0 b 2 N r Z m V l Z H M v U 2 9 1 c m N l P C 9 J d G V t U G F 0 a D 4 8 L 0 l 0 Z W 1 M b 2 N h d G l v b j 4 8 U 3 R h Y m x l R W 5 0 c m l l c y A v P j w v S X R l b T 4 8 S X R l b T 4 8 S X R l b U x v Y 2 F 0 a W 9 u P j x J d G V t V H l w Z T 5 G b 3 J t d W x h P C 9 J d G V t V H l w Z T 4 8 S X R l b V B h d G g + U 2 V j d G l v b j E v Q W J p b G l 0 e X N 0 b 2 N r Z m V l Z H M v U H J v b W 9 0 Z W Q l M j B I Z W F k Z X J z P C 9 J d G V t U G F 0 a D 4 8 L 0 l 0 Z W 1 M b 2 N h d G l v b j 4 8 U 3 R h Y m x l R W 5 0 c m l l c y A v P j w v S X R l b T 4 8 S X R l b T 4 8 S X R l b U x v Y 2 F 0 a W 9 u P j x J d G V t V H l w Z T 5 G b 3 J t d W x h P C 9 J d G V t V H l w Z T 4 8 S X R l b V B h d G g + U 2 V j d G l v b j E v Q W J p b G l 0 e X N 0 b 2 N r Z m V l Z H M v Q 2 h h b m d l Z C U y M F R 5 c G U 8 L 0 l 0 Z W 1 Q Y X R o P j w v S X R l b U x v Y 2 F 0 a W 9 u P j x T d G F i b G V F b n R y a W V z I C 8 + P C 9 J d G V t P j w v S X R l b X M + P C 9 M b 2 N h b F B h Y 2 t h Z 2 V N Z X R h Z G F 0 Y U Z p b G U + F g A A A F B L B Q Y A A A A A A A A A A A A A A A A A A A A A A A A m A Q A A A Q A A A N C M n d 8 B F d E R j H o A w E / C l + s B A A A A X J z i X l I 8 E k G 2 c Z X Y v 3 D i R w A A A A A C A A A A A A A Q Z g A A A A E A A C A A A A B + q N 8 0 u h R M q R x d W v S I d / A T g p 8 x 5 w 0 N g l B Q G C a B A 6 W L M g A A A A A O g A A A A A I A A C A A A A A d h E f + 8 f G 8 y x Y q C L Q G L d P 4 K h 6 i X P l 9 7 y p G i V d Y E f w 9 3 1 A A A A B g D 5 5 K C d q s a + + 5 Y j D E Y i 7 5 m n E o B c H 5 f o W C 0 9 o 9 + k / U V s a o 3 l r p J d + h P X d F D 4 9 K y V 3 + q t t 5 D t V Y 1 T 8 C i i g l 4 x T x z o k p z w q M s 2 g U K N L + I B u f B E A A A A A G w g y l 1 f 8 3 4 E 4 5 a z r Z w W k P P l Y m h Y b w p S C o b F I z N Z 2 V J 5 C + s H 9 f W g L 1 a Q U e l O o s n R D S 0 E P e Z l K 1 u 8 O 0 q z y o i M G m < / D a t a M a s h u p > 
</file>

<file path=customXml/itemProps1.xml><?xml version="1.0" encoding="utf-8"?>
<ds:datastoreItem xmlns:ds="http://schemas.openxmlformats.org/officeDocument/2006/customXml" ds:itemID="{2D511288-6B1B-4AE3-A08E-3EAC9CA704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products</vt:lpstr>
      <vt:lpstr>Your Quote</vt:lpstr>
      <vt:lpstr>Help Tab</vt:lpstr>
      <vt:lpstr>Short Throw Projectors</vt:lpstr>
      <vt:lpstr>DO NOT OPEN</vt:lpstr>
      <vt:lpstr>Logic</vt:lpstr>
      <vt:lpstr>'Help Tab'!Criteria</vt:lpstr>
      <vt:lpstr>'Help Tab'!Extract</vt:lpstr>
      <vt:lpstr>parameters</vt:lpstr>
      <vt:lpstr>products!Print_Area</vt:lpstr>
      <vt:lpstr>SKUselector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Thomas</dc:creator>
  <cp:lastModifiedBy>RIchard Thomas</cp:lastModifiedBy>
  <cp:lastPrinted>2020-03-19T15:36:36Z</cp:lastPrinted>
  <dcterms:created xsi:type="dcterms:W3CDTF">2020-03-10T17:39:18Z</dcterms:created>
  <dcterms:modified xsi:type="dcterms:W3CDTF">2020-07-15T12:23:09Z</dcterms:modified>
</cp:coreProperties>
</file>